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0" windowWidth="9195" windowHeight="2325" activeTab="2"/>
  </bookViews>
  <sheets>
    <sheet name="Introduction" sheetId="1" r:id="rId1"/>
    <sheet name="Instructions" sheetId="2" r:id="rId2"/>
    <sheet name="Calculateur" sheetId="3" r:id="rId3"/>
    <sheet name="Hypothèses" sheetId="4" r:id="rId4"/>
  </sheets>
  <definedNames>
    <definedName name="Imprimante_Laser">'Hypothèses'!$G$1:$G$2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C29" authorId="0">
      <text>
        <r>
          <rPr>
            <sz val="11"/>
            <rFont val="Tahoma"/>
            <family val="2"/>
          </rPr>
          <t>La consommation énergétique est déterminée par le type d'imprimante, sélectionné en D12.</t>
        </r>
      </text>
    </comment>
    <comment ref="C38" authorId="0">
      <text>
        <r>
          <rPr>
            <sz val="11"/>
            <rFont val="Tahoma"/>
            <family val="2"/>
          </rPr>
          <t>Coût associé au non-fonctionnement d'une imprimante (durant une maintenance, une réparation ou lorsque brisée)</t>
        </r>
      </text>
    </comment>
    <comment ref="C36" authorId="0">
      <text>
        <r>
          <rPr>
            <sz val="11"/>
            <rFont val="Tahoma"/>
            <family val="2"/>
          </rPr>
          <t>Nombre de pages imprimées entre chaque maintenance</t>
        </r>
      </text>
    </comment>
    <comment ref="C40" authorId="0">
      <text>
        <r>
          <rPr>
            <sz val="11"/>
            <rFont val="Tahoma"/>
            <family val="2"/>
          </rPr>
          <t>Frais relié à la fin de vie de l'imprimante (gestion de matière dangereuse ou valorisation par une ONG ou autre)</t>
        </r>
      </text>
    </comment>
    <comment ref="H14" authorId="0">
      <text>
        <r>
          <rPr>
            <b/>
            <sz val="11"/>
            <rFont val="Tahoma"/>
            <family val="2"/>
          </rPr>
          <t>Coût total en fonction de la base de comparaison</t>
        </r>
      </text>
    </comment>
    <comment ref="Q14" authorId="0">
      <text>
        <r>
          <rPr>
            <b/>
            <sz val="11"/>
            <rFont val="Tahoma"/>
            <family val="2"/>
          </rPr>
          <t>Coût total en fonction de la base de comparaison</t>
        </r>
      </text>
    </comment>
    <comment ref="L29" authorId="0">
      <text>
        <r>
          <rPr>
            <sz val="11"/>
            <rFont val="Tahoma"/>
            <family val="2"/>
          </rPr>
          <t>La consommation énergétique est déterminée par le type d'imprimante, sélectionné en D12.</t>
        </r>
      </text>
    </comment>
    <comment ref="L38" authorId="0">
      <text>
        <r>
          <rPr>
            <sz val="11"/>
            <rFont val="Tahoma"/>
            <family val="2"/>
          </rPr>
          <t>Coût associé au non-fonctionnement d'une imprimante (durant une maintenance, une réparation ou lorsque brisée)</t>
        </r>
      </text>
    </comment>
    <comment ref="L40" authorId="0">
      <text>
        <r>
          <rPr>
            <sz val="11"/>
            <rFont val="Tahoma"/>
            <family val="2"/>
          </rPr>
          <t>Frais relié à la fin de vie de l'imprimante (gestion de matière dangereuse ou valorisation par une ONG ou autre)</t>
        </r>
      </text>
    </comment>
    <comment ref="L36" authorId="0">
      <text>
        <r>
          <rPr>
            <sz val="11"/>
            <rFont val="Tahoma"/>
            <family val="2"/>
          </rPr>
          <t>Nombre de pages imprimées entre chaque maintenance</t>
        </r>
      </text>
    </comment>
  </commentList>
</comments>
</file>

<file path=xl/sharedStrings.xml><?xml version="1.0" encoding="utf-8"?>
<sst xmlns="http://schemas.openxmlformats.org/spreadsheetml/2006/main" count="235" uniqueCount="132">
  <si>
    <t>Résultats</t>
  </si>
  <si>
    <t>Imprimante A</t>
  </si>
  <si>
    <t>Imprimante B</t>
  </si>
  <si>
    <t>Produit</t>
  </si>
  <si>
    <t>Imprimante</t>
  </si>
  <si>
    <t>Base de comparaison (unité fonctionnelle)</t>
  </si>
  <si>
    <t>Légende</t>
  </si>
  <si>
    <t>Champ à compléter</t>
  </si>
  <si>
    <t>Champ calculé</t>
  </si>
  <si>
    <t>Étape du cycle de vie</t>
  </si>
  <si>
    <t>Transport</t>
  </si>
  <si>
    <t>Coût d'acquisition</t>
  </si>
  <si>
    <t>Coût des garanties prolongées</t>
  </si>
  <si>
    <t>Frais de transport et livraison</t>
  </si>
  <si>
    <t>Coût total</t>
  </si>
  <si>
    <t>Utilisation</t>
  </si>
  <si>
    <t>Emballage</t>
  </si>
  <si>
    <t>Coûts d'élimination des emballages</t>
  </si>
  <si>
    <t>Coûts d'installation</t>
  </si>
  <si>
    <t>Consommation énergétique</t>
  </si>
  <si>
    <t>Type d'imprimante (sélectionner dans le menu suivant:)</t>
  </si>
  <si>
    <t>Coût de la maintenance</t>
  </si>
  <si>
    <t>Coûts de perte de productivités (downtime)</t>
  </si>
  <si>
    <t>Fin de vie</t>
  </si>
  <si>
    <t>Frais d'élimination/gestion de l'imprimante</t>
  </si>
  <si>
    <t>Frais d'élimination/gestion des cartouches</t>
  </si>
  <si>
    <t>Quantité:</t>
  </si>
  <si>
    <t>Spécifications</t>
  </si>
  <si>
    <t>Coûts totaux de propriétés</t>
  </si>
  <si>
    <t>Coûts totaux par page</t>
  </si>
  <si>
    <t>% du coût total</t>
  </si>
  <si>
    <t>Différence A - B</t>
  </si>
  <si>
    <t>A</t>
  </si>
  <si>
    <t>B</t>
  </si>
  <si>
    <t>Étapes de l'utilisation du calculateur de coût d'une imprimante</t>
  </si>
  <si>
    <t>Un graphique présente de manière visuelle les coûts de l'imprimante en fonction de la base de comparaison.</t>
  </si>
  <si>
    <t>Choisir le type d'imprimante (laser ou jet d'encre) en D12.</t>
  </si>
  <si>
    <t>Un deuxième tableau est disponible afin de faire des comparaisons.</t>
  </si>
  <si>
    <t>Coûts d'élimination/gestion des emballages</t>
  </si>
  <si>
    <t>© ECPAR 2013</t>
  </si>
  <si>
    <t>Acquisition / Fabrication</t>
  </si>
  <si>
    <t>Déterminer la base de comparaison (unité fonctionnelle) en nombre de feuilles.  Insérer à la case D6.</t>
  </si>
  <si>
    <t>Les cases bleues sont à compléter tandis que les cases rose-orange affichent des informations et ne sont pas modifiables.</t>
  </si>
  <si>
    <t>Déterminer approximativement la durée de vie de l'imprimante en nombre de feuilles.  Insérer en F13</t>
  </si>
  <si>
    <t>Remplir les différentes informations du tableau.  Des commentaires sont disponibles afin d'expliquer la signification des entrées.</t>
  </si>
  <si>
    <t>Les coûts énergétiques peuvent être enlevés du calcul par le checkbox. Pour les autres coûts, il suffit de les fixer à 0.</t>
  </si>
  <si>
    <t>Il est possible de déverrouiller les cellules (il n'y a pas de mot de passe).</t>
  </si>
  <si>
    <t>Paramètres</t>
  </si>
  <si>
    <t>Valeur</t>
  </si>
  <si>
    <t>Unité</t>
  </si>
  <si>
    <t>Source</t>
  </si>
  <si>
    <t>Nombre de jours ouvrés dans une année</t>
  </si>
  <si>
    <t>j</t>
  </si>
  <si>
    <t>http://www.carra.gouv.qc.ca/fra/guide/administration/depart_07_ss03.htm</t>
  </si>
  <si>
    <t>Consommation énergétique PC et moniteur</t>
  </si>
  <si>
    <t>cf. tableau "Paramètres consommation énergétique"</t>
  </si>
  <si>
    <t xml:space="preserve">Prix éléctricité </t>
  </si>
  <si>
    <t>$/kWh</t>
  </si>
  <si>
    <t>Valeurs pour calculs</t>
  </si>
  <si>
    <t>Valeurs par défaut</t>
  </si>
  <si>
    <t>Mode "veille" (w)</t>
  </si>
  <si>
    <t>prix imprimante ($)</t>
  </si>
  <si>
    <t>Impression (w)</t>
  </si>
  <si>
    <t>Durée de vie</t>
  </si>
  <si>
    <t>Jet d'encre économique, 10/6 ppm</t>
  </si>
  <si>
    <t>http://www.eu-energystar.org/fr/fr_009.shtml</t>
  </si>
  <si>
    <t>Cent/page NB</t>
  </si>
  <si>
    <t>Cent/page couleur</t>
  </si>
  <si>
    <t>Laser économique N/B, 20 ppm</t>
  </si>
  <si>
    <t>Laser N/B, 22 ppm</t>
  </si>
  <si>
    <t>Duplex laser N/B, 22 ppm</t>
  </si>
  <si>
    <t>Laser partagé N/B, 32 ppm</t>
  </si>
  <si>
    <t>Laser partagé N/B, 32 ppm, duplex</t>
  </si>
  <si>
    <t>Laser couleur économique, 16/4 ppm</t>
  </si>
  <si>
    <t>Laser couleur commun, 22/22 ppm, duplex</t>
  </si>
  <si>
    <t>ppm = papier par minute (vitesse d'impression)</t>
  </si>
  <si>
    <t>Multifonction économique, 10/6 ppm</t>
  </si>
  <si>
    <t>Laser multifonction, 12/6 ppm</t>
  </si>
  <si>
    <t>Duplex multifonction, 12/6 ppm</t>
  </si>
  <si>
    <t>Laser multifonction N/B, 15 ppm</t>
  </si>
  <si>
    <t>Laser multifonction, dplx, 25 copies/70 scan ppm</t>
  </si>
  <si>
    <t xml:space="preserve">Puissance </t>
  </si>
  <si>
    <t>---- Mode "veille"</t>
  </si>
  <si>
    <t>---- Impression</t>
  </si>
  <si>
    <t>Watt</t>
  </si>
  <si>
    <t>Durée de vie présumée de l'imprimante (année)</t>
  </si>
  <si>
    <t>Utilisation du papier</t>
  </si>
  <si>
    <t>vitesse (ppm)</t>
  </si>
  <si>
    <t>x 1000 pages/an</t>
  </si>
  <si>
    <t>Vitesse d'impression</t>
  </si>
  <si>
    <t>ppm (pages/minute)</t>
  </si>
  <si>
    <t>kWh/an</t>
  </si>
  <si>
    <t>---- Nombre de pages n/b imprimées par an</t>
  </si>
  <si>
    <t>$/1000 pages</t>
  </si>
  <si>
    <t>$/an</t>
  </si>
  <si>
    <t>Duplex jet d'encre économique, 10/6 ppm</t>
  </si>
  <si>
    <t>Année(s)</t>
  </si>
  <si>
    <t>année(s) d'utilisation</t>
  </si>
  <si>
    <t>Coûts d'impression n/b</t>
  </si>
  <si>
    <t>Coûts d'impression couleur</t>
  </si>
  <si>
    <t>Fréquence de la maintenance  par an</t>
  </si>
  <si>
    <t>/an</t>
  </si>
  <si>
    <t>Pour toutes questions sur ce calculateur, veuillez envoyer un courriel à l'adresse suivante :  info@ecpar.org</t>
  </si>
  <si>
    <t>Contact</t>
  </si>
  <si>
    <t>Limites d'utilisation</t>
  </si>
  <si>
    <t>---- Nombre de pages couleures imprimées par an</t>
  </si>
  <si>
    <t>Coûts d'impression par an</t>
  </si>
  <si>
    <t>Cet outil permet de calculer les coûts totaux de propriété du produit, c’est-à-dire les coûts associés à l’ensemble de son cycle de vie. Il vise également à faciliter la comparaison entre les coûts totaux de propriété de différents produits qui remplissent une même fonction.</t>
  </si>
  <si>
    <t>Ce calculateur a été élaboré à partir de données génériques disponibles publiquement. Il permet une analyse de coûts simplifiée. Cependant, il incombe à l'utilisateur de s'assurer que les données soient représentatives de son contexte d'utilisation spécifique.</t>
  </si>
  <si>
    <t>Coût liés aux étapes du cycle de vie</t>
  </si>
  <si>
    <t xml:space="preserve">Coût d'acquisition : </t>
  </si>
  <si>
    <t>Ensemble des coûts associés à l'achat du bien (ex: prix d'acquisition, frais de transport, coûts d'installation, coûts de formation, coûts des accessoires, etc.)</t>
  </si>
  <si>
    <t>Coût de transport/Entreposage</t>
  </si>
  <si>
    <t>Ensemble des coûts liés au transport et/ou à l'entreposage du produit de sa réception jusqu'à son utilisation.</t>
  </si>
  <si>
    <t>Coût d'utilisation :</t>
  </si>
  <si>
    <t xml:space="preserve">Ensemble des coûts associés à l'utilisation du produit ou à l'obtention du service, par exemple les coûts de carburant, réparations, ....
Plusieurs coûts de cette étape du cycle de vie sont récurrents. </t>
  </si>
  <si>
    <t>Coût de gestion en fin de vie :</t>
  </si>
  <si>
    <t>Ensemble des coûts associés à la gestion en fin de vie du produit, de ses emballages, des consommables, etc.</t>
  </si>
  <si>
    <t>Coût de formation</t>
  </si>
  <si>
    <t>Coût de location</t>
  </si>
  <si>
    <t>$ par année</t>
  </si>
  <si>
    <t>Valeur résiduelle nette (Coût négatif)</t>
  </si>
  <si>
    <t>Coût d'impression recto verso (en %)</t>
  </si>
  <si>
    <t>Coût d'emballage :</t>
  </si>
  <si>
    <t>Ensemble des coûts liés à l'élimination et la gestion des emballages du produit avant son utilisation</t>
  </si>
  <si>
    <t>Coût d'impression recto verso n/b</t>
  </si>
  <si>
    <t>---- % du nombre de page imprimées en recto verso</t>
  </si>
  <si>
    <t>% du total imprimé</t>
  </si>
  <si>
    <t>Coût d'impression recto verso couleur</t>
  </si>
  <si>
    <t>Coûts de formation</t>
  </si>
  <si>
    <t>Calculateur des coûts totaux de propriété - version 1.2 - Avril 2018</t>
  </si>
  <si>
    <t>Coûts de propriétés annualisés</t>
  </si>
</sst>
</file>

<file path=xl/styles.xml><?xml version="1.0" encoding="utf-8"?>
<styleSheet xmlns="http://schemas.openxmlformats.org/spreadsheetml/2006/main">
  <numFmts count="3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_-&quot;$&quot;* #\ ##0.00_-;\-&quot;$&quot;* #\ ##0.00_-;_-&quot;$&quot;* &quot;-&quot;??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[$-C0C]d\ mmmm\ yyyy"/>
    <numFmt numFmtId="178" formatCode="#,##0.00\ &quot;$&quot;"/>
    <numFmt numFmtId="179" formatCode="0.000000000"/>
    <numFmt numFmtId="180" formatCode="0.0000000000"/>
    <numFmt numFmtId="181" formatCode="0.00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"/>
    <numFmt numFmtId="188" formatCode="0.00;[Red]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19" borderId="10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horizontal="left"/>
      <protection locked="0"/>
    </xf>
    <xf numFmtId="0" fontId="0" fillId="19" borderId="10" xfId="0" applyFill="1" applyBorder="1" applyAlignment="1" applyProtection="1">
      <alignment horizontal="center"/>
      <protection locked="0"/>
    </xf>
    <xf numFmtId="0" fontId="39" fillId="8" borderId="10" xfId="0" applyFont="1" applyFill="1" applyBorder="1" applyAlignment="1" applyProtection="1">
      <alignment horizontal="center"/>
      <protection locked="0"/>
    </xf>
    <xf numFmtId="170" fontId="0" fillId="8" borderId="10" xfId="48" applyFont="1" applyFill="1" applyBorder="1" applyAlignment="1" applyProtection="1">
      <alignment horizontal="center" vertical="center"/>
      <protection locked="0"/>
    </xf>
    <xf numFmtId="0" fontId="0" fillId="8" borderId="10" xfId="0" applyFill="1" applyBorder="1" applyAlignment="1" applyProtection="1">
      <alignment horizontal="center" vertical="center"/>
      <protection locked="0"/>
    </xf>
    <xf numFmtId="170" fontId="0" fillId="8" borderId="10" xfId="48" applyFont="1" applyFill="1" applyBorder="1" applyAlignment="1" applyProtection="1">
      <alignment horizontal="left"/>
      <protection locked="0"/>
    </xf>
    <xf numFmtId="170" fontId="0" fillId="19" borderId="11" xfId="0" applyNumberFormat="1" applyFill="1" applyBorder="1" applyAlignment="1" applyProtection="1">
      <alignment horizontal="center"/>
      <protection/>
    </xf>
    <xf numFmtId="170" fontId="0" fillId="19" borderId="12" xfId="0" applyNumberFormat="1" applyFill="1" applyBorder="1" applyAlignment="1" applyProtection="1">
      <alignment/>
      <protection/>
    </xf>
    <xf numFmtId="170" fontId="0" fillId="19" borderId="13" xfId="0" applyNumberFormat="1" applyFill="1" applyBorder="1" applyAlignment="1" applyProtection="1">
      <alignment/>
      <protection/>
    </xf>
    <xf numFmtId="0" fontId="0" fillId="8" borderId="14" xfId="0" applyFill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Fill="1" applyBorder="1" applyAlignment="1">
      <alignment vertical="center" wrapText="1"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10" borderId="19" xfId="0" applyFill="1" applyBorder="1" applyAlignment="1" applyProtection="1">
      <alignment/>
      <protection/>
    </xf>
    <xf numFmtId="0" fontId="0" fillId="10" borderId="20" xfId="0" applyFill="1" applyBorder="1" applyAlignment="1" applyProtection="1">
      <alignment horizontal="left"/>
      <protection/>
    </xf>
    <xf numFmtId="0" fontId="0" fillId="10" borderId="20" xfId="0" applyFill="1" applyBorder="1" applyAlignment="1" applyProtection="1">
      <alignment/>
      <protection/>
    </xf>
    <xf numFmtId="0" fontId="0" fillId="10" borderId="14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8" borderId="10" xfId="0" applyFill="1" applyBorder="1" applyAlignment="1" applyProtection="1">
      <alignment horizontal="left"/>
      <protection/>
    </xf>
    <xf numFmtId="0" fontId="0" fillId="19" borderId="21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16" borderId="17" xfId="0" applyFill="1" applyBorder="1" applyAlignment="1" applyProtection="1">
      <alignment/>
      <protection/>
    </xf>
    <xf numFmtId="0" fontId="0" fillId="16" borderId="19" xfId="0" applyFill="1" applyBorder="1" applyAlignment="1" applyProtection="1">
      <alignment/>
      <protection/>
    </xf>
    <xf numFmtId="0" fontId="0" fillId="16" borderId="2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0" fillId="10" borderId="10" xfId="0" applyFill="1" applyBorder="1" applyAlignment="1" applyProtection="1">
      <alignment horizontal="center" wrapText="1"/>
      <protection/>
    </xf>
    <xf numFmtId="0" fontId="0" fillId="22" borderId="16" xfId="0" applyFill="1" applyBorder="1" applyAlignment="1" applyProtection="1">
      <alignment horizontal="center"/>
      <protection/>
    </xf>
    <xf numFmtId="0" fontId="0" fillId="22" borderId="22" xfId="0" applyFill="1" applyBorder="1" applyAlignment="1" applyProtection="1">
      <alignment/>
      <protection/>
    </xf>
    <xf numFmtId="0" fontId="0" fillId="22" borderId="13" xfId="0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10" borderId="10" xfId="0" applyFill="1" applyBorder="1" applyAlignment="1" applyProtection="1">
      <alignment horizontal="center"/>
      <protection/>
    </xf>
    <xf numFmtId="172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left"/>
      <protection/>
    </xf>
    <xf numFmtId="2" fontId="0" fillId="0" borderId="0" xfId="0" applyNumberFormat="1" applyFill="1" applyBorder="1" applyAlignment="1" applyProtection="1">
      <alignment horizontal="center"/>
      <protection/>
    </xf>
    <xf numFmtId="0" fontId="39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8" borderId="22" xfId="0" applyFill="1" applyBorder="1" applyAlignment="1" applyProtection="1">
      <alignment/>
      <protection locked="0"/>
    </xf>
    <xf numFmtId="170" fontId="0" fillId="0" borderId="0" xfId="0" applyNumberFormat="1" applyBorder="1" applyAlignment="1" applyProtection="1">
      <alignment horizontal="left"/>
      <protection/>
    </xf>
    <xf numFmtId="0" fontId="0" fillId="0" borderId="24" xfId="0" applyBorder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/>
    </xf>
    <xf numFmtId="170" fontId="0" fillId="0" borderId="15" xfId="0" applyNumberFormat="1" applyBorder="1" applyAlignment="1" applyProtection="1">
      <alignment horizontal="left"/>
      <protection/>
    </xf>
    <xf numFmtId="0" fontId="0" fillId="0" borderId="23" xfId="0" applyBorder="1" applyAlignment="1" applyProtection="1">
      <alignment/>
      <protection/>
    </xf>
    <xf numFmtId="170" fontId="0" fillId="0" borderId="25" xfId="0" applyNumberFormat="1" applyBorder="1" applyAlignment="1" applyProtection="1">
      <alignment horizontal="left"/>
      <protection/>
    </xf>
    <xf numFmtId="170" fontId="0" fillId="0" borderId="26" xfId="0" applyNumberFormat="1" applyBorder="1" applyAlignment="1" applyProtection="1">
      <alignment horizontal="left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26" xfId="0" applyFill="1" applyBorder="1" applyAlignment="1">
      <alignment vertical="center" wrapText="1"/>
    </xf>
    <xf numFmtId="0" fontId="0" fillId="22" borderId="20" xfId="0" applyFill="1" applyBorder="1" applyAlignment="1" applyProtection="1">
      <alignment horizontal="center"/>
      <protection/>
    </xf>
    <xf numFmtId="0" fontId="39" fillId="8" borderId="0" xfId="0" applyFont="1" applyFill="1" applyBorder="1" applyAlignment="1" applyProtection="1">
      <alignment horizontal="center"/>
      <protection locked="0"/>
    </xf>
    <xf numFmtId="0" fontId="0" fillId="22" borderId="19" xfId="0" applyFill="1" applyBorder="1" applyAlignment="1" applyProtection="1">
      <alignment/>
      <protection/>
    </xf>
    <xf numFmtId="0" fontId="0" fillId="22" borderId="20" xfId="0" applyFill="1" applyBorder="1" applyAlignment="1" applyProtection="1">
      <alignment/>
      <protection/>
    </xf>
    <xf numFmtId="0" fontId="39" fillId="0" borderId="0" xfId="0" applyFont="1" applyAlignment="1">
      <alignment/>
    </xf>
    <xf numFmtId="0" fontId="30" fillId="0" borderId="0" xfId="45" applyAlignment="1">
      <alignment/>
    </xf>
    <xf numFmtId="0" fontId="41" fillId="0" borderId="18" xfId="0" applyFont="1" applyBorder="1" applyAlignment="1" applyProtection="1">
      <alignment/>
      <protection/>
    </xf>
    <xf numFmtId="0" fontId="0" fillId="0" borderId="18" xfId="0" applyBorder="1" applyAlignment="1" applyProtection="1" quotePrefix="1">
      <alignment/>
      <protection/>
    </xf>
    <xf numFmtId="2" fontId="0" fillId="19" borderId="10" xfId="0" applyNumberFormat="1" applyFill="1" applyBorder="1" applyAlignment="1" applyProtection="1">
      <alignment horizontal="center" vertical="center"/>
      <protection/>
    </xf>
    <xf numFmtId="2" fontId="0" fillId="8" borderId="18" xfId="48" applyNumberFormat="1" applyFont="1" applyFill="1" applyBorder="1" applyAlignment="1" applyProtection="1">
      <alignment horizontal="center" vertical="center"/>
      <protection locked="0"/>
    </xf>
    <xf numFmtId="170" fontId="0" fillId="8" borderId="0" xfId="48" applyFont="1" applyFill="1" applyBorder="1" applyAlignment="1" applyProtection="1">
      <alignment horizontal="center" vertical="center"/>
      <protection locked="0"/>
    </xf>
    <xf numFmtId="2" fontId="0" fillId="8" borderId="0" xfId="48" applyNumberFormat="1" applyFont="1" applyFill="1" applyBorder="1" applyAlignment="1" applyProtection="1">
      <alignment horizontal="center" vertical="center"/>
      <protection locked="0"/>
    </xf>
    <xf numFmtId="0" fontId="0" fillId="19" borderId="0" xfId="0" applyFill="1" applyBorder="1" applyAlignment="1" applyProtection="1">
      <alignment horizontal="center" vertical="center"/>
      <protection/>
    </xf>
    <xf numFmtId="0" fontId="0" fillId="8" borderId="0" xfId="0" applyFill="1" applyBorder="1" applyAlignment="1" applyProtection="1">
      <alignment horizontal="center" vertical="center"/>
      <protection locked="0"/>
    </xf>
    <xf numFmtId="170" fontId="0" fillId="8" borderId="0" xfId="48" applyFont="1" applyFill="1" applyBorder="1" applyAlignment="1" applyProtection="1">
      <alignment horizontal="left"/>
      <protection locked="0"/>
    </xf>
    <xf numFmtId="0" fontId="0" fillId="22" borderId="24" xfId="0" applyFill="1" applyBorder="1" applyAlignment="1" applyProtection="1">
      <alignment horizontal="center"/>
      <protection/>
    </xf>
    <xf numFmtId="0" fontId="0" fillId="22" borderId="16" xfId="0" applyFill="1" applyBorder="1" applyAlignment="1" applyProtection="1">
      <alignment/>
      <protection/>
    </xf>
    <xf numFmtId="170" fontId="0" fillId="0" borderId="0" xfId="48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2" fontId="0" fillId="0" borderId="0" xfId="48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170" fontId="0" fillId="0" borderId="0" xfId="48" applyFont="1" applyFill="1" applyBorder="1" applyAlignment="1" applyProtection="1">
      <alignment horizontal="left"/>
      <protection locked="0"/>
    </xf>
    <xf numFmtId="178" fontId="0" fillId="19" borderId="10" xfId="0" applyNumberFormat="1" applyFill="1" applyBorder="1" applyAlignment="1" applyProtection="1">
      <alignment horizontal="center" vertical="center"/>
      <protection/>
    </xf>
    <xf numFmtId="1" fontId="0" fillId="0" borderId="0" xfId="0" applyNumberFormat="1" applyAlignment="1">
      <alignment/>
    </xf>
    <xf numFmtId="2" fontId="0" fillId="8" borderId="10" xfId="48" applyNumberFormat="1" applyFont="1" applyFill="1" applyBorder="1" applyAlignment="1" applyProtection="1">
      <alignment horizontal="center" vertical="center"/>
      <protection locked="0"/>
    </xf>
    <xf numFmtId="9" fontId="0" fillId="19" borderId="27" xfId="51" applyFont="1" applyFill="1" applyBorder="1" applyAlignment="1" applyProtection="1">
      <alignment horizontal="center"/>
      <protection/>
    </xf>
    <xf numFmtId="0" fontId="0" fillId="0" borderId="0" xfId="0" applyBorder="1" applyAlignment="1" applyProtection="1" quotePrefix="1">
      <alignment/>
      <protection/>
    </xf>
    <xf numFmtId="0" fontId="0" fillId="0" borderId="0" xfId="0" applyAlignment="1">
      <alignment wrapText="1"/>
    </xf>
    <xf numFmtId="2" fontId="0" fillId="8" borderId="10" xfId="48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9" fontId="0" fillId="8" borderId="10" xfId="51" applyFont="1" applyFill="1" applyBorder="1" applyAlignment="1" applyProtection="1">
      <alignment horizontal="center" vertical="center"/>
      <protection locked="0"/>
    </xf>
    <xf numFmtId="188" fontId="0" fillId="8" borderId="10" xfId="5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10" borderId="17" xfId="0" applyFill="1" applyBorder="1" applyAlignment="1">
      <alignment horizontal="center" vertical="center" wrapText="1"/>
    </xf>
    <xf numFmtId="0" fontId="0" fillId="10" borderId="16" xfId="0" applyFill="1" applyBorder="1" applyAlignment="1">
      <alignment horizontal="center" vertical="center" wrapText="1"/>
    </xf>
    <xf numFmtId="0" fontId="0" fillId="10" borderId="22" xfId="0" applyFill="1" applyBorder="1" applyAlignment="1" applyProtection="1">
      <alignment horizontal="center" vertical="center" wrapText="1"/>
      <protection/>
    </xf>
    <xf numFmtId="0" fontId="0" fillId="10" borderId="21" xfId="0" applyFill="1" applyBorder="1" applyAlignment="1" applyProtection="1">
      <alignment horizontal="center" vertical="center" wrapText="1"/>
      <protection/>
    </xf>
    <xf numFmtId="0" fontId="0" fillId="8" borderId="19" xfId="0" applyFill="1" applyBorder="1" applyAlignment="1" applyProtection="1">
      <alignment/>
      <protection locked="0"/>
    </xf>
    <xf numFmtId="0" fontId="0" fillId="8" borderId="20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10" borderId="28" xfId="0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0" fontId="0" fillId="0" borderId="21" xfId="0" applyBorder="1" applyAlignment="1" applyProtection="1">
      <alignment vertical="center" wrapText="1"/>
      <protection/>
    </xf>
    <xf numFmtId="0" fontId="0" fillId="22" borderId="19" xfId="0" applyFill="1" applyBorder="1" applyAlignment="1" applyProtection="1">
      <alignment horizontal="center" wrapText="1"/>
      <protection/>
    </xf>
    <xf numFmtId="0" fontId="0" fillId="22" borderId="20" xfId="0" applyFill="1" applyBorder="1" applyAlignment="1" applyProtection="1">
      <alignment horizontal="center" wrapText="1"/>
      <protection/>
    </xf>
    <xf numFmtId="0" fontId="0" fillId="22" borderId="25" xfId="0" applyFill="1" applyBorder="1" applyAlignment="1" applyProtection="1">
      <alignment horizontal="center" wrapText="1"/>
      <protection/>
    </xf>
    <xf numFmtId="0" fontId="0" fillId="0" borderId="20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0" fillId="34" borderId="0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-0.0075"/>
          <c:w val="0.661"/>
          <c:h val="0.9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Calculateur!$C$65</c:f>
              <c:strCache>
                <c:ptCount val="1"/>
                <c:pt idx="0">
                  <c:v>Coût d'acquisition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Calculateur!$D$64:$G$64</c:f>
              <c:strCache/>
            </c:strRef>
          </c:cat>
          <c:val>
            <c:numRef>
              <c:f>Calculateur!$D$65:$G$65</c:f>
              <c:numCache/>
            </c:numRef>
          </c:val>
        </c:ser>
        <c:ser>
          <c:idx val="1"/>
          <c:order val="1"/>
          <c:tx>
            <c:strRef>
              <c:f>Calculateur!$C$66</c:f>
              <c:strCache>
                <c:ptCount val="1"/>
                <c:pt idx="0">
                  <c:v>Coût des garanties prolongées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Calculateur!$D$64:$G$64</c:f>
              <c:strCache/>
            </c:strRef>
          </c:cat>
          <c:val>
            <c:numRef>
              <c:f>Calculateur!$D$66:$G$66</c:f>
              <c:numCache/>
            </c:numRef>
          </c:val>
        </c:ser>
        <c:ser>
          <c:idx val="2"/>
          <c:order val="2"/>
          <c:tx>
            <c:strRef>
              <c:f>Calculateur!$C$67</c:f>
              <c:strCache>
                <c:ptCount val="1"/>
                <c:pt idx="0">
                  <c:v>Coût de location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Calculateur!$D$64:$G$64</c:f>
              <c:strCache/>
            </c:strRef>
          </c:cat>
          <c:val>
            <c:numRef>
              <c:f>Calculateur!$D$67:$G$67</c:f>
              <c:numCache/>
            </c:numRef>
          </c:val>
        </c:ser>
        <c:ser>
          <c:idx val="3"/>
          <c:order val="3"/>
          <c:tx>
            <c:strRef>
              <c:f>Calculateur!$C$68</c:f>
              <c:strCache>
                <c:ptCount val="1"/>
                <c:pt idx="0">
                  <c:v>Frais de transport et livraison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Calculateur!$D$64:$G$64</c:f>
              <c:strCache/>
            </c:strRef>
          </c:cat>
          <c:val>
            <c:numRef>
              <c:f>Calculateur!$D$68:$G$68</c:f>
              <c:numCache/>
            </c:numRef>
          </c:val>
        </c:ser>
        <c:ser>
          <c:idx val="4"/>
          <c:order val="4"/>
          <c:tx>
            <c:strRef>
              <c:f>Calculateur!$C$69</c:f>
              <c:strCache>
                <c:ptCount val="1"/>
                <c:pt idx="0">
                  <c:v>Coûts d'élimination des emballages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Calculateur!$D$64:$G$64</c:f>
              <c:strCache/>
            </c:strRef>
          </c:cat>
          <c:val>
            <c:numRef>
              <c:f>Calculateur!$D$69:$G$69</c:f>
              <c:numCache/>
            </c:numRef>
          </c:val>
        </c:ser>
        <c:ser>
          <c:idx val="5"/>
          <c:order val="5"/>
          <c:tx>
            <c:strRef>
              <c:f>Calculateur!$C$70</c:f>
              <c:strCache>
                <c:ptCount val="1"/>
                <c:pt idx="0">
                  <c:v>Coûts d'installation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Calculateur!$D$64:$G$64</c:f>
              <c:strCache/>
            </c:strRef>
          </c:cat>
          <c:val>
            <c:numRef>
              <c:f>Calculateur!$D$70:$G$70</c:f>
              <c:numCache/>
            </c:numRef>
          </c:val>
        </c:ser>
        <c:ser>
          <c:idx val="6"/>
          <c:order val="6"/>
          <c:tx>
            <c:strRef>
              <c:f>Calculateur!$C$71</c:f>
              <c:strCache>
                <c:ptCount val="1"/>
                <c:pt idx="0">
                  <c:v>Consommation énergétique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Calculateur!$D$64:$G$64</c:f>
              <c:strCache/>
            </c:strRef>
          </c:cat>
          <c:val>
            <c:numRef>
              <c:f>Calculateur!$D$71:$G$71</c:f>
              <c:numCache/>
            </c:numRef>
          </c:val>
        </c:ser>
        <c:ser>
          <c:idx val="7"/>
          <c:order val="7"/>
          <c:tx>
            <c:strRef>
              <c:f>Calculateur!$C$72</c:f>
              <c:strCache>
                <c:ptCount val="1"/>
                <c:pt idx="0">
                  <c:v>Coûts d'impression par an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Calculateur!$D$64:$G$64</c:f>
              <c:strCache/>
            </c:strRef>
          </c:cat>
          <c:val>
            <c:numRef>
              <c:f>Calculateur!$D$72:$G$72</c:f>
              <c:numCache/>
            </c:numRef>
          </c:val>
        </c:ser>
        <c:ser>
          <c:idx val="8"/>
          <c:order val="8"/>
          <c:tx>
            <c:strRef>
              <c:f>Calculateur!$C$73</c:f>
              <c:strCache>
                <c:ptCount val="1"/>
                <c:pt idx="0">
                  <c:v>Coût de la maintenance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Calculateur!$D$64:$G$64</c:f>
              <c:strCache/>
            </c:strRef>
          </c:cat>
          <c:val>
            <c:numRef>
              <c:f>Calculateur!$D$73:$G$73</c:f>
              <c:numCache/>
            </c:numRef>
          </c:val>
        </c:ser>
        <c:ser>
          <c:idx val="9"/>
          <c:order val="9"/>
          <c:tx>
            <c:strRef>
              <c:f>Calculateur!$C$74</c:f>
              <c:strCache>
                <c:ptCount val="1"/>
                <c:pt idx="0">
                  <c:v>Coûts de formation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Calculateur!$D$64:$G$64</c:f>
              <c:strCache/>
            </c:strRef>
          </c:cat>
          <c:val>
            <c:numRef>
              <c:f>Calculateur!$D$74:$G$74</c:f>
              <c:numCache/>
            </c:numRef>
          </c:val>
        </c:ser>
        <c:ser>
          <c:idx val="10"/>
          <c:order val="10"/>
          <c:tx>
            <c:strRef>
              <c:f>Calculateur!$C$75</c:f>
              <c:strCache>
                <c:ptCount val="1"/>
                <c:pt idx="0">
                  <c:v>Coûts de perte de productivités (downtime)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Calculateur!$D$64:$G$64</c:f>
              <c:strCache/>
            </c:strRef>
          </c:cat>
          <c:val>
            <c:numRef>
              <c:f>Calculateur!$D$75:$G$75</c:f>
              <c:numCache/>
            </c:numRef>
          </c:val>
        </c:ser>
        <c:ser>
          <c:idx val="11"/>
          <c:order val="11"/>
          <c:tx>
            <c:strRef>
              <c:f>Calculateur!$C$76</c:f>
              <c:strCache>
                <c:ptCount val="1"/>
                <c:pt idx="0">
                  <c:v>Frais d'élimination/gestion de l'imprimante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Calculateur!$D$64:$G$64</c:f>
              <c:strCache/>
            </c:strRef>
          </c:cat>
          <c:val>
            <c:numRef>
              <c:f>Calculateur!$D$76:$G$76</c:f>
              <c:numCache/>
            </c:numRef>
          </c:val>
        </c:ser>
        <c:ser>
          <c:idx val="12"/>
          <c:order val="12"/>
          <c:tx>
            <c:strRef>
              <c:f>Calculateur!$C$77</c:f>
              <c:strCache>
                <c:ptCount val="1"/>
                <c:pt idx="0">
                  <c:v>Frais d'élimination/gestion des cartouches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Calculateur!$D$64:$G$64</c:f>
              <c:strCache/>
            </c:strRef>
          </c:cat>
          <c:val>
            <c:numRef>
              <c:f>Calculateur!$D$77:$G$77</c:f>
              <c:numCache/>
            </c:numRef>
          </c:val>
        </c:ser>
        <c:overlap val="100"/>
        <c:axId val="69676"/>
        <c:axId val="627085"/>
      </c:barChart>
      <c:catAx>
        <c:axId val="69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085"/>
        <c:crosses val="autoZero"/>
        <c:auto val="1"/>
        <c:lblOffset val="100"/>
        <c:tickLblSkip val="1"/>
        <c:noMultiLvlLbl val="0"/>
      </c:catAx>
      <c:valAx>
        <c:axId val="6270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6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4"/>
          <c:y val="0.0355"/>
          <c:w val="0.2805"/>
          <c:h val="0.92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2</xdr:col>
      <xdr:colOff>609600</xdr:colOff>
      <xdr:row>3</xdr:row>
      <xdr:rowOff>9525</xdr:rowOff>
    </xdr:to>
    <xdr:pic>
      <xdr:nvPicPr>
        <xdr:cNvPr id="1" name="Image 1" descr="http://www.corporatif.gazmetro.com/Data/Images/logo-ecpar.gif"/>
        <xdr:cNvPicPr preferRelativeResize="1">
          <a:picLocks noChangeAspect="1"/>
        </xdr:cNvPicPr>
      </xdr:nvPicPr>
      <xdr:blipFill>
        <a:blip r:embed="rId1"/>
        <a:srcRect b="28234"/>
        <a:stretch>
          <a:fillRect/>
        </a:stretch>
      </xdr:blipFill>
      <xdr:spPr>
        <a:xfrm>
          <a:off x="285750" y="0"/>
          <a:ext cx="2857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45</xdr:row>
      <xdr:rowOff>9525</xdr:rowOff>
    </xdr:from>
    <xdr:to>
      <xdr:col>8</xdr:col>
      <xdr:colOff>1076325</xdr:colOff>
      <xdr:row>61</xdr:row>
      <xdr:rowOff>133350</xdr:rowOff>
    </xdr:to>
    <xdr:graphicFrame>
      <xdr:nvGraphicFramePr>
        <xdr:cNvPr id="1" name="Chart 1"/>
        <xdr:cNvGraphicFramePr/>
      </xdr:nvGraphicFramePr>
      <xdr:xfrm>
        <a:off x="990600" y="8867775"/>
        <a:ext cx="88773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arra.gouv.qc.ca/fra/guide/administration/depart_07_ss03.htm" TargetMode="External" /><Relationship Id="rId2" Type="http://schemas.openxmlformats.org/officeDocument/2006/relationships/hyperlink" Target="http://www.eu-energystar.org/fr/fr_009.s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P22"/>
  <sheetViews>
    <sheetView zoomScalePageLayoutView="0" workbookViewId="0" topLeftCell="A1">
      <selection activeCell="C24" sqref="C24"/>
    </sheetView>
  </sheetViews>
  <sheetFormatPr defaultColWidth="11.421875" defaultRowHeight="15"/>
  <cols>
    <col min="1" max="1" width="3.8515625" style="0" customWidth="1"/>
    <col min="2" max="2" width="34.140625" style="0" customWidth="1"/>
  </cols>
  <sheetData>
    <row r="4" spans="2:16" ht="15" customHeight="1">
      <c r="B4" s="94" t="s">
        <v>107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2:16" ht="15"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2:16" ht="15"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</row>
    <row r="7" spans="2:16" ht="15"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</row>
    <row r="8" spans="2:16" ht="15"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</row>
    <row r="9" spans="2:16" ht="17.25" customHeight="1">
      <c r="B9" s="95" t="s">
        <v>104</v>
      </c>
      <c r="C9" s="95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</row>
    <row r="10" spans="2:16" ht="49.5" customHeight="1">
      <c r="B10" s="96" t="s">
        <v>108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</row>
    <row r="12" ht="15">
      <c r="B12" s="65" t="s">
        <v>103</v>
      </c>
    </row>
    <row r="13" ht="15">
      <c r="B13" t="s">
        <v>102</v>
      </c>
    </row>
    <row r="16" spans="2:5" ht="15">
      <c r="B16" s="65" t="s">
        <v>109</v>
      </c>
      <c r="C16" s="91"/>
      <c r="D16" s="91"/>
      <c r="E16" s="91"/>
    </row>
    <row r="17" spans="2:5" ht="15">
      <c r="B17" s="89"/>
      <c r="C17" s="91"/>
      <c r="D17" s="91"/>
      <c r="E17" s="91"/>
    </row>
    <row r="18" spans="2:5" ht="15">
      <c r="B18" s="89" t="s">
        <v>110</v>
      </c>
      <c r="C18" s="91" t="s">
        <v>111</v>
      </c>
      <c r="D18" s="91"/>
      <c r="E18" s="91"/>
    </row>
    <row r="19" spans="2:5" ht="15">
      <c r="B19" s="89" t="s">
        <v>112</v>
      </c>
      <c r="C19" s="91" t="s">
        <v>113</v>
      </c>
      <c r="D19" s="91"/>
      <c r="E19" s="91"/>
    </row>
    <row r="20" spans="2:5" ht="15">
      <c r="B20" s="89" t="s">
        <v>123</v>
      </c>
      <c r="C20" s="91" t="s">
        <v>124</v>
      </c>
      <c r="D20" s="91"/>
      <c r="E20" s="91"/>
    </row>
    <row r="21" spans="2:5" ht="15">
      <c r="B21" s="89" t="s">
        <v>114</v>
      </c>
      <c r="C21" s="91" t="s">
        <v>115</v>
      </c>
      <c r="D21" s="91"/>
      <c r="E21" s="91"/>
    </row>
    <row r="22" spans="2:5" ht="15">
      <c r="B22" s="89" t="s">
        <v>116</v>
      </c>
      <c r="C22" s="91" t="s">
        <v>117</v>
      </c>
      <c r="D22" s="91"/>
      <c r="E22" s="91"/>
    </row>
  </sheetData>
  <sheetProtection/>
  <mergeCells count="3">
    <mergeCell ref="B4:P7"/>
    <mergeCell ref="B9:C9"/>
    <mergeCell ref="B10:P1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2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9.140625" style="0" customWidth="1"/>
    <col min="2" max="2" width="32.57421875" style="0" customWidth="1"/>
    <col min="3" max="3" width="52.8515625" style="0" customWidth="1"/>
    <col min="4" max="4" width="18.421875" style="0" bestFit="1" customWidth="1"/>
    <col min="5" max="5" width="20.140625" style="0" customWidth="1"/>
    <col min="6" max="7" width="9.140625" style="0" customWidth="1"/>
    <col min="8" max="8" width="20.140625" style="0" customWidth="1"/>
  </cols>
  <sheetData>
    <row r="2" ht="15.75" thickBot="1"/>
    <row r="3" spans="2:3" ht="45.75" customHeight="1" thickBot="1">
      <c r="B3" s="97" t="s">
        <v>34</v>
      </c>
      <c r="C3" s="98"/>
    </row>
    <row r="4" spans="2:5" ht="45.75" thickBot="1">
      <c r="B4" s="57">
        <v>1</v>
      </c>
      <c r="C4" s="15" t="s">
        <v>42</v>
      </c>
      <c r="D4" s="13" t="s">
        <v>7</v>
      </c>
      <c r="E4" s="2" t="s">
        <v>8</v>
      </c>
    </row>
    <row r="5" spans="2:5" ht="30">
      <c r="B5" s="58">
        <v>2</v>
      </c>
      <c r="C5" s="14" t="s">
        <v>41</v>
      </c>
      <c r="D5" s="3"/>
      <c r="E5" s="3"/>
    </row>
    <row r="6" spans="2:5" ht="30">
      <c r="B6" s="58">
        <v>3</v>
      </c>
      <c r="C6" s="14" t="s">
        <v>36</v>
      </c>
      <c r="D6" s="3"/>
      <c r="E6" s="3"/>
    </row>
    <row r="7" spans="2:5" ht="30">
      <c r="B7" s="58">
        <v>4</v>
      </c>
      <c r="C7" s="14" t="s">
        <v>43</v>
      </c>
      <c r="D7" s="3"/>
      <c r="E7" s="3"/>
    </row>
    <row r="8" spans="2:8" ht="45">
      <c r="B8" s="58">
        <v>5</v>
      </c>
      <c r="C8" s="14" t="s">
        <v>44</v>
      </c>
      <c r="D8" s="3"/>
      <c r="E8" s="3"/>
      <c r="G8" s="1"/>
      <c r="H8" s="1"/>
    </row>
    <row r="9" spans="2:8" ht="45">
      <c r="B9" s="46">
        <v>6</v>
      </c>
      <c r="C9" s="16" t="s">
        <v>45</v>
      </c>
      <c r="D9" s="3"/>
      <c r="E9" s="3"/>
      <c r="G9" s="1"/>
      <c r="H9" s="1"/>
    </row>
    <row r="10" spans="2:7" ht="30">
      <c r="B10" s="48">
        <v>7</v>
      </c>
      <c r="C10" s="16" t="s">
        <v>37</v>
      </c>
      <c r="D10" s="3"/>
      <c r="E10" s="3"/>
      <c r="G10" s="1"/>
    </row>
    <row r="11" spans="2:7" ht="30">
      <c r="B11" s="46">
        <v>8</v>
      </c>
      <c r="C11" s="59" t="s">
        <v>35</v>
      </c>
      <c r="D11" s="3"/>
      <c r="E11" s="3"/>
      <c r="G11" s="1"/>
    </row>
    <row r="12" spans="2:8" ht="30.75" thickBot="1">
      <c r="B12" s="47">
        <v>9</v>
      </c>
      <c r="C12" s="60" t="s">
        <v>46</v>
      </c>
      <c r="D12" s="3"/>
      <c r="E12" s="3"/>
      <c r="G12" s="1"/>
      <c r="H12" s="1"/>
    </row>
    <row r="13" spans="4:5" ht="37.5" customHeight="1">
      <c r="D13" s="3"/>
      <c r="E13" s="3"/>
    </row>
    <row r="14" spans="2:5" ht="15">
      <c r="B14" s="3"/>
      <c r="C14" s="3"/>
      <c r="D14" s="3"/>
      <c r="E14" s="3"/>
    </row>
    <row r="15" spans="2:5" ht="15">
      <c r="B15" s="3"/>
      <c r="C15" s="3"/>
      <c r="D15" s="3"/>
      <c r="E15" s="3"/>
    </row>
    <row r="16" spans="2:5" ht="15">
      <c r="B16" s="3"/>
      <c r="C16" s="3"/>
      <c r="D16" s="3"/>
      <c r="E16" s="3"/>
    </row>
    <row r="17" spans="2:5" ht="15">
      <c r="B17" s="3"/>
      <c r="C17" s="3"/>
      <c r="D17" s="3"/>
      <c r="E17" s="3"/>
    </row>
    <row r="18" spans="2:5" ht="15">
      <c r="B18" s="3"/>
      <c r="C18" s="3"/>
      <c r="D18" s="3"/>
      <c r="E18" s="3"/>
    </row>
    <row r="19" spans="2:5" ht="15">
      <c r="B19" s="3"/>
      <c r="C19" s="3"/>
      <c r="D19" s="3"/>
      <c r="E19" s="3"/>
    </row>
    <row r="20" spans="2:5" ht="15">
      <c r="B20" s="3"/>
      <c r="C20" s="3"/>
      <c r="D20" s="3"/>
      <c r="E20" s="3"/>
    </row>
    <row r="21" spans="2:5" ht="15">
      <c r="B21" s="3"/>
      <c r="C21" s="3"/>
      <c r="D21" s="3"/>
      <c r="E21" s="3"/>
    </row>
    <row r="22" spans="2:5" ht="15">
      <c r="B22" s="3"/>
      <c r="C22" s="3"/>
      <c r="D22" s="3"/>
      <c r="E22" s="3"/>
    </row>
  </sheetData>
  <sheetProtection/>
  <mergeCells count="1">
    <mergeCell ref="B3:C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X97"/>
  <sheetViews>
    <sheetView tabSelected="1" zoomScale="85" zoomScaleNormal="85" zoomScalePageLayoutView="0" workbookViewId="0" topLeftCell="A1">
      <selection activeCell="D9" sqref="D9"/>
    </sheetView>
  </sheetViews>
  <sheetFormatPr defaultColWidth="9.140625" defaultRowHeight="15"/>
  <cols>
    <col min="1" max="1" width="1.1484375" style="20" customWidth="1"/>
    <col min="2" max="2" width="13.28125" style="20" customWidth="1"/>
    <col min="3" max="3" width="51.8515625" style="20" customWidth="1"/>
    <col min="4" max="4" width="11.421875" style="21" customWidth="1"/>
    <col min="5" max="5" width="11.421875" style="21" hidden="1" customWidth="1"/>
    <col min="6" max="6" width="11.421875" style="21" customWidth="1"/>
    <col min="7" max="7" width="21.57421875" style="21" customWidth="1"/>
    <col min="8" max="8" width="21.140625" style="20" customWidth="1"/>
    <col min="9" max="9" width="16.7109375" style="20" customWidth="1"/>
    <col min="10" max="10" width="14.28125" style="20" bestFit="1" customWidth="1"/>
    <col min="11" max="11" width="15.8515625" style="20" customWidth="1"/>
    <col min="12" max="12" width="47.00390625" style="20" customWidth="1"/>
    <col min="13" max="13" width="10.57421875" style="20" bestFit="1" customWidth="1"/>
    <col min="14" max="14" width="10.57421875" style="20" hidden="1" customWidth="1"/>
    <col min="15" max="15" width="10.57421875" style="20" customWidth="1"/>
    <col min="16" max="16" width="20.57421875" style="20" customWidth="1"/>
    <col min="17" max="17" width="15.7109375" style="20" customWidth="1"/>
    <col min="18" max="18" width="14.28125" style="20" bestFit="1" customWidth="1"/>
    <col min="19" max="19" width="9.140625" style="20" customWidth="1"/>
    <col min="20" max="20" width="15.140625" style="20" customWidth="1"/>
    <col min="21" max="16384" width="9.140625" style="20" customWidth="1"/>
  </cols>
  <sheetData>
    <row r="1" ht="5.25" customHeight="1" thickBot="1"/>
    <row r="2" spans="3:16" ht="15.75" thickBot="1">
      <c r="C2" s="22" t="s">
        <v>130</v>
      </c>
      <c r="D2" s="23"/>
      <c r="E2" s="23"/>
      <c r="F2" s="23"/>
      <c r="G2" s="23"/>
      <c r="H2" s="24"/>
      <c r="I2" s="24"/>
      <c r="J2" s="24"/>
      <c r="K2" s="24"/>
      <c r="L2" s="24"/>
      <c r="M2" s="24"/>
      <c r="N2" s="24"/>
      <c r="O2" s="24"/>
      <c r="P2" s="25"/>
    </row>
    <row r="3" ht="15">
      <c r="C3" s="20" t="s">
        <v>39</v>
      </c>
    </row>
    <row r="4" ht="5.25" customHeight="1"/>
    <row r="5" spans="3:4" ht="15.75" thickBot="1">
      <c r="C5" s="20" t="s">
        <v>3</v>
      </c>
      <c r="D5" s="21" t="s">
        <v>4</v>
      </c>
    </row>
    <row r="6" spans="3:6" ht="15.75" thickBot="1">
      <c r="C6" s="20" t="s">
        <v>5</v>
      </c>
      <c r="D6" s="6">
        <v>6</v>
      </c>
      <c r="E6" s="62"/>
      <c r="F6" s="21" t="s">
        <v>97</v>
      </c>
    </row>
    <row r="7" ht="15.75" thickBot="1"/>
    <row r="8" spans="3:7" ht="15.75" thickBot="1">
      <c r="C8" s="26" t="s">
        <v>6</v>
      </c>
      <c r="G8" s="27" t="s">
        <v>7</v>
      </c>
    </row>
    <row r="9" ht="15.75" thickBot="1">
      <c r="G9" s="28" t="s">
        <v>8</v>
      </c>
    </row>
    <row r="10" spans="11:22" ht="15.75" thickBot="1"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3:22" ht="15.75" thickBot="1">
      <c r="C11" s="49" t="s">
        <v>1</v>
      </c>
      <c r="D11" s="4" t="s">
        <v>26</v>
      </c>
      <c r="E11" s="4"/>
      <c r="F11" s="4"/>
      <c r="G11" s="5">
        <f>$D$6/$H$13</f>
        <v>1</v>
      </c>
      <c r="H11" s="20" t="s">
        <v>4</v>
      </c>
      <c r="L11" s="49" t="s">
        <v>2</v>
      </c>
      <c r="M11" s="4" t="s">
        <v>26</v>
      </c>
      <c r="N11" s="4"/>
      <c r="O11" s="4"/>
      <c r="P11" s="5">
        <f>$D$6/$Q$13</f>
        <v>1</v>
      </c>
      <c r="Q11" s="20" t="s">
        <v>4</v>
      </c>
      <c r="S11" s="29"/>
      <c r="T11" s="29"/>
      <c r="U11" s="29"/>
      <c r="V11" s="29"/>
    </row>
    <row r="12" spans="3:22" ht="15.75" thickBot="1">
      <c r="C12" s="30" t="s">
        <v>20</v>
      </c>
      <c r="D12" s="101" t="s">
        <v>73</v>
      </c>
      <c r="E12" s="102"/>
      <c r="F12" s="102"/>
      <c r="G12" s="103"/>
      <c r="L12" s="30" t="s">
        <v>20</v>
      </c>
      <c r="M12" s="101" t="s">
        <v>73</v>
      </c>
      <c r="N12" s="102"/>
      <c r="O12" s="102"/>
      <c r="P12" s="103"/>
      <c r="S12" s="29"/>
      <c r="T12" s="29"/>
      <c r="U12" s="29"/>
      <c r="V12" s="29"/>
    </row>
    <row r="13" spans="3:22" ht="15.75" thickBot="1">
      <c r="C13" s="31" t="s">
        <v>85</v>
      </c>
      <c r="D13" s="32"/>
      <c r="E13" s="32"/>
      <c r="F13" s="32"/>
      <c r="G13" s="32"/>
      <c r="H13" s="6">
        <v>6</v>
      </c>
      <c r="I13" s="33" t="s">
        <v>96</v>
      </c>
      <c r="L13" s="31" t="s">
        <v>85</v>
      </c>
      <c r="M13" s="32"/>
      <c r="N13" s="32"/>
      <c r="O13" s="32"/>
      <c r="P13" s="32"/>
      <c r="Q13" s="6">
        <v>6</v>
      </c>
      <c r="R13" s="33" t="s">
        <v>96</v>
      </c>
      <c r="S13" s="29"/>
      <c r="T13" s="29"/>
      <c r="U13" s="29"/>
      <c r="V13" s="29"/>
    </row>
    <row r="14" spans="2:22" ht="29.25" customHeight="1" thickBot="1">
      <c r="B14" s="34" t="s">
        <v>9</v>
      </c>
      <c r="C14" s="63" t="s">
        <v>27</v>
      </c>
      <c r="D14" s="64"/>
      <c r="E14" s="61" t="s">
        <v>58</v>
      </c>
      <c r="F14" s="76" t="s">
        <v>59</v>
      </c>
      <c r="G14" s="77"/>
      <c r="H14" s="35" t="s">
        <v>14</v>
      </c>
      <c r="I14" s="36" t="s">
        <v>30</v>
      </c>
      <c r="K14" s="34" t="s">
        <v>9</v>
      </c>
      <c r="L14" s="63" t="s">
        <v>27</v>
      </c>
      <c r="M14" s="64"/>
      <c r="N14" s="61" t="s">
        <v>58</v>
      </c>
      <c r="O14" s="76" t="s">
        <v>59</v>
      </c>
      <c r="P14" s="77"/>
      <c r="Q14" s="35" t="s">
        <v>14</v>
      </c>
      <c r="R14" s="36" t="s">
        <v>30</v>
      </c>
      <c r="S14" s="29"/>
      <c r="T14" s="37" t="s">
        <v>31</v>
      </c>
      <c r="U14" s="29"/>
      <c r="V14" s="29"/>
    </row>
    <row r="15" spans="2:24" ht="15.75" customHeight="1" thickBot="1">
      <c r="B15" s="99" t="s">
        <v>40</v>
      </c>
      <c r="C15" s="17" t="s">
        <v>11</v>
      </c>
      <c r="D15" s="7">
        <f>418</f>
        <v>418</v>
      </c>
      <c r="E15" s="70">
        <f>IF(D15="",F15,D15)</f>
        <v>418</v>
      </c>
      <c r="F15" s="80">
        <f>IF(D15="",VLOOKUP(D$12,Hypothèses!$B$9:$I$23,5,0),"")</f>
      </c>
      <c r="G15" s="79"/>
      <c r="H15" s="10">
        <f>D15*G11</f>
        <v>418</v>
      </c>
      <c r="I15" s="87">
        <f>H15/$H$42</f>
        <v>0.040475141500811704</v>
      </c>
      <c r="K15" s="99" t="s">
        <v>40</v>
      </c>
      <c r="L15" s="17" t="s">
        <v>11</v>
      </c>
      <c r="M15" s="7">
        <v>300</v>
      </c>
      <c r="N15" s="70">
        <f>IF(M15="",O15,M15)</f>
        <v>300</v>
      </c>
      <c r="O15" s="80">
        <f>IF(M15="",VLOOKUP(M$12,Hypothèses!$B$9:$I$23,5,0),"")</f>
      </c>
      <c r="P15" s="79"/>
      <c r="Q15" s="10">
        <f>M15*P11</f>
        <v>300</v>
      </c>
      <c r="R15" s="87">
        <f>Q15/$H$42</f>
        <v>0.029049144617807443</v>
      </c>
      <c r="S15" s="29"/>
      <c r="T15" s="11">
        <f aca="true" t="shared" si="0" ref="T15:T20">H15-Q15</f>
        <v>118</v>
      </c>
      <c r="U15" s="38" t="s">
        <v>11</v>
      </c>
      <c r="V15" s="29"/>
      <c r="W15" s="38"/>
      <c r="X15" s="38"/>
    </row>
    <row r="16" spans="2:24" ht="15.75" thickBot="1">
      <c r="B16" s="104"/>
      <c r="C16" s="18" t="s">
        <v>12</v>
      </c>
      <c r="D16" s="7">
        <v>300</v>
      </c>
      <c r="E16" s="71"/>
      <c r="F16" s="78"/>
      <c r="G16" s="79"/>
      <c r="H16" s="10">
        <f>D16*G$11</f>
        <v>300</v>
      </c>
      <c r="I16" s="87">
        <f>H16/H$42</f>
        <v>0.029049144617807443</v>
      </c>
      <c r="K16" s="104"/>
      <c r="L16" s="18" t="s">
        <v>12</v>
      </c>
      <c r="M16" s="7">
        <v>300</v>
      </c>
      <c r="N16" s="71"/>
      <c r="O16" s="78"/>
      <c r="P16" s="79"/>
      <c r="Q16" s="10">
        <f>M16*P$11</f>
        <v>300</v>
      </c>
      <c r="R16" s="87">
        <f>Q16/Q$42</f>
        <v>0.029384896351932022</v>
      </c>
      <c r="S16" s="29"/>
      <c r="T16" s="12">
        <f t="shared" si="0"/>
        <v>0</v>
      </c>
      <c r="U16" s="38" t="s">
        <v>12</v>
      </c>
      <c r="V16" s="29"/>
      <c r="W16" s="38"/>
      <c r="X16" s="38"/>
    </row>
    <row r="17" spans="2:24" ht="15.75" thickBot="1">
      <c r="B17" s="100"/>
      <c r="C17" s="18" t="s">
        <v>119</v>
      </c>
      <c r="D17" s="7"/>
      <c r="E17" s="71">
        <f>D17</f>
        <v>0</v>
      </c>
      <c r="F17" s="78"/>
      <c r="G17" s="79" t="s">
        <v>120</v>
      </c>
      <c r="H17" s="10">
        <f>D17</f>
        <v>0</v>
      </c>
      <c r="I17" s="87">
        <f>H17/H$42</f>
        <v>0</v>
      </c>
      <c r="K17" s="100"/>
      <c r="L17" s="18" t="s">
        <v>119</v>
      </c>
      <c r="M17" s="7"/>
      <c r="N17" s="71">
        <f>M17</f>
        <v>0</v>
      </c>
      <c r="O17" s="78"/>
      <c r="P17" s="79" t="s">
        <v>120</v>
      </c>
      <c r="Q17" s="10">
        <f>M17</f>
        <v>0</v>
      </c>
      <c r="R17" s="87">
        <f>Q17/Q$42</f>
        <v>0</v>
      </c>
      <c r="S17" s="29"/>
      <c r="T17" s="12">
        <f t="shared" si="0"/>
        <v>0</v>
      </c>
      <c r="U17" s="38" t="s">
        <v>119</v>
      </c>
      <c r="V17" s="29"/>
      <c r="W17" s="38"/>
      <c r="X17" s="38"/>
    </row>
    <row r="18" spans="2:24" ht="15.75" thickBot="1">
      <c r="B18" s="39" t="s">
        <v>10</v>
      </c>
      <c r="C18" s="18" t="s">
        <v>13</v>
      </c>
      <c r="D18" s="7">
        <v>30</v>
      </c>
      <c r="E18" s="71"/>
      <c r="F18" s="78"/>
      <c r="G18" s="79"/>
      <c r="H18" s="10">
        <f>D18*G$11</f>
        <v>30</v>
      </c>
      <c r="I18" s="87">
        <f>H18/H$42</f>
        <v>0.0029049144617807445</v>
      </c>
      <c r="K18" s="39" t="s">
        <v>10</v>
      </c>
      <c r="L18" s="18" t="s">
        <v>13</v>
      </c>
      <c r="M18" s="7">
        <v>30</v>
      </c>
      <c r="N18" s="71"/>
      <c r="O18" s="78"/>
      <c r="P18" s="79"/>
      <c r="Q18" s="10">
        <f>M18*P$11</f>
        <v>30</v>
      </c>
      <c r="R18" s="87">
        <f>Q18/Q$42</f>
        <v>0.002938489635193202</v>
      </c>
      <c r="S18" s="29"/>
      <c r="T18" s="12">
        <f t="shared" si="0"/>
        <v>0</v>
      </c>
      <c r="U18" s="38" t="s">
        <v>13</v>
      </c>
      <c r="V18" s="29"/>
      <c r="W18" s="38"/>
      <c r="X18" s="38"/>
    </row>
    <row r="19" spans="2:24" ht="15.75" thickBot="1">
      <c r="B19" s="39" t="s">
        <v>16</v>
      </c>
      <c r="C19" s="18" t="s">
        <v>38</v>
      </c>
      <c r="D19" s="7">
        <v>2</v>
      </c>
      <c r="E19" s="72"/>
      <c r="F19" s="78"/>
      <c r="G19" s="79"/>
      <c r="H19" s="10">
        <f>D19*G$11</f>
        <v>2</v>
      </c>
      <c r="I19" s="87">
        <f>H19/H$42</f>
        <v>0.00019366096411871627</v>
      </c>
      <c r="K19" s="39" t="s">
        <v>16</v>
      </c>
      <c r="L19" s="18" t="s">
        <v>38</v>
      </c>
      <c r="M19" s="7">
        <v>2</v>
      </c>
      <c r="N19" s="72"/>
      <c r="O19" s="78"/>
      <c r="P19" s="79"/>
      <c r="Q19" s="10">
        <f>M19*P$11</f>
        <v>2</v>
      </c>
      <c r="R19" s="87">
        <f>Q19/Q$42</f>
        <v>0.00019589930901288015</v>
      </c>
      <c r="S19" s="29"/>
      <c r="T19" s="12">
        <f t="shared" si="0"/>
        <v>0</v>
      </c>
      <c r="U19" s="38" t="s">
        <v>17</v>
      </c>
      <c r="V19" s="29"/>
      <c r="W19" s="38"/>
      <c r="X19" s="38"/>
    </row>
    <row r="20" spans="2:24" ht="15.75" thickBot="1">
      <c r="B20" s="99" t="s">
        <v>15</v>
      </c>
      <c r="C20" s="18" t="s">
        <v>18</v>
      </c>
      <c r="D20" s="7">
        <v>0</v>
      </c>
      <c r="E20" s="72"/>
      <c r="F20" s="80"/>
      <c r="G20" s="79"/>
      <c r="H20" s="10">
        <f>D20*G$11</f>
        <v>0</v>
      </c>
      <c r="I20" s="87">
        <f>H20/H$42</f>
        <v>0</v>
      </c>
      <c r="K20" s="99" t="s">
        <v>15</v>
      </c>
      <c r="L20" s="18" t="s">
        <v>18</v>
      </c>
      <c r="M20" s="7">
        <v>0</v>
      </c>
      <c r="N20" s="72"/>
      <c r="O20" s="80"/>
      <c r="P20" s="79"/>
      <c r="Q20" s="10">
        <f>M20*P$11</f>
        <v>0</v>
      </c>
      <c r="R20" s="87">
        <f>Q20/Q$42</f>
        <v>0</v>
      </c>
      <c r="S20" s="29"/>
      <c r="T20" s="12">
        <f t="shared" si="0"/>
        <v>0</v>
      </c>
      <c r="U20" s="38" t="s">
        <v>18</v>
      </c>
      <c r="V20" s="29"/>
      <c r="W20" s="38"/>
      <c r="X20" s="38"/>
    </row>
    <row r="21" spans="2:24" ht="15.75" thickBot="1">
      <c r="B21" s="104"/>
      <c r="C21" s="67" t="s">
        <v>81</v>
      </c>
      <c r="D21" s="80"/>
      <c r="E21" s="80"/>
      <c r="F21" s="80"/>
      <c r="G21" s="79"/>
      <c r="H21" s="112"/>
      <c r="I21" s="113"/>
      <c r="K21" s="104"/>
      <c r="L21" s="67" t="s">
        <v>81</v>
      </c>
      <c r="M21" s="80"/>
      <c r="N21" s="80"/>
      <c r="O21" s="80"/>
      <c r="P21" s="79"/>
      <c r="Q21" s="112"/>
      <c r="R21" s="113"/>
      <c r="S21" s="29"/>
      <c r="T21" s="113"/>
      <c r="U21" s="38"/>
      <c r="V21" s="29"/>
      <c r="W21" s="38"/>
      <c r="X21" s="38"/>
    </row>
    <row r="22" spans="2:24" ht="15.75" thickBot="1">
      <c r="B22" s="104"/>
      <c r="C22" s="68" t="s">
        <v>82</v>
      </c>
      <c r="D22" s="86"/>
      <c r="E22" s="70">
        <f>IF(D22="",F22,D22)</f>
        <v>13</v>
      </c>
      <c r="F22" s="80">
        <f>IF(D22="",VLOOKUP(D$12,Hypothèses!$B$9:$I$23,2,0),"")</f>
        <v>13</v>
      </c>
      <c r="G22" s="79" t="s">
        <v>84</v>
      </c>
      <c r="H22" s="112"/>
      <c r="I22" s="113"/>
      <c r="K22" s="104"/>
      <c r="L22" s="68" t="s">
        <v>82</v>
      </c>
      <c r="M22" s="7"/>
      <c r="N22" s="70">
        <f>IF(M22="",O22,M22)</f>
        <v>13</v>
      </c>
      <c r="O22" s="80">
        <f>IF(M22="",VLOOKUP(M$12,Hypothèses!$B$9:$I$23,2,0),"")</f>
        <v>13</v>
      </c>
      <c r="P22" s="79" t="s">
        <v>84</v>
      </c>
      <c r="Q22" s="112"/>
      <c r="R22" s="113"/>
      <c r="S22" s="29"/>
      <c r="T22" s="113"/>
      <c r="U22" s="38"/>
      <c r="V22" s="29"/>
      <c r="W22" s="38"/>
      <c r="X22" s="38"/>
    </row>
    <row r="23" spans="2:24" ht="15.75" thickBot="1">
      <c r="B23" s="104"/>
      <c r="C23" s="68" t="s">
        <v>83</v>
      </c>
      <c r="D23" s="86"/>
      <c r="E23" s="70">
        <f>IF(D23="",F23,D23)</f>
        <v>200</v>
      </c>
      <c r="F23" s="80">
        <f>IF(D23="",VLOOKUP(D$12,Hypothèses!$B$9:$I$23,3,0),"")</f>
        <v>200</v>
      </c>
      <c r="G23" s="79" t="s">
        <v>84</v>
      </c>
      <c r="H23" s="112"/>
      <c r="I23" s="113"/>
      <c r="K23" s="104"/>
      <c r="L23" s="68" t="s">
        <v>83</v>
      </c>
      <c r="M23" s="7"/>
      <c r="N23" s="70">
        <f>IF(M23="",O23,M23)</f>
        <v>200</v>
      </c>
      <c r="O23" s="80">
        <f>IF(M23="",VLOOKUP(M$12,Hypothèses!$B$9:$I$23,3,0),"")</f>
        <v>200</v>
      </c>
      <c r="P23" s="79" t="s">
        <v>84</v>
      </c>
      <c r="Q23" s="112"/>
      <c r="R23" s="113"/>
      <c r="S23" s="29"/>
      <c r="T23" s="113"/>
      <c r="U23" s="38"/>
      <c r="V23" s="29"/>
      <c r="W23" s="38"/>
      <c r="X23" s="38"/>
    </row>
    <row r="24" spans="2:24" ht="15.75" thickBot="1">
      <c r="B24" s="104"/>
      <c r="C24" s="67" t="s">
        <v>86</v>
      </c>
      <c r="D24" s="80"/>
      <c r="E24" s="80"/>
      <c r="F24" s="80"/>
      <c r="G24" s="79"/>
      <c r="H24" s="112"/>
      <c r="I24" s="113"/>
      <c r="K24" s="104"/>
      <c r="L24" s="67" t="s">
        <v>86</v>
      </c>
      <c r="M24" s="80"/>
      <c r="N24" s="80"/>
      <c r="O24" s="80"/>
      <c r="P24" s="79"/>
      <c r="Q24" s="112"/>
      <c r="R24" s="113"/>
      <c r="S24" s="29"/>
      <c r="T24" s="113"/>
      <c r="U24" s="38"/>
      <c r="V24" s="29"/>
      <c r="W24" s="38"/>
      <c r="X24" s="38"/>
    </row>
    <row r="25" spans="2:24" ht="15.75" thickBot="1">
      <c r="B25" s="104"/>
      <c r="C25" s="88" t="s">
        <v>92</v>
      </c>
      <c r="D25" s="86">
        <v>25</v>
      </c>
      <c r="E25" s="70">
        <f>D25</f>
        <v>25</v>
      </c>
      <c r="F25" s="80"/>
      <c r="G25" s="79" t="s">
        <v>88</v>
      </c>
      <c r="H25" s="112"/>
      <c r="I25" s="113"/>
      <c r="K25" s="104"/>
      <c r="L25" s="88" t="s">
        <v>92</v>
      </c>
      <c r="M25" s="90">
        <v>25</v>
      </c>
      <c r="N25" s="70">
        <f>M25</f>
        <v>25</v>
      </c>
      <c r="O25" s="80"/>
      <c r="P25" s="79" t="s">
        <v>88</v>
      </c>
      <c r="Q25" s="112"/>
      <c r="R25" s="113"/>
      <c r="S25" s="29"/>
      <c r="T25" s="113"/>
      <c r="U25" s="38"/>
      <c r="V25" s="29"/>
      <c r="W25" s="38"/>
      <c r="X25" s="38"/>
    </row>
    <row r="26" spans="2:24" ht="15.75" thickBot="1">
      <c r="B26" s="104"/>
      <c r="C26" s="88" t="s">
        <v>105</v>
      </c>
      <c r="D26" s="86">
        <v>5</v>
      </c>
      <c r="E26" s="70">
        <f>D26</f>
        <v>5</v>
      </c>
      <c r="F26" s="80"/>
      <c r="G26" s="79" t="s">
        <v>88</v>
      </c>
      <c r="H26" s="112"/>
      <c r="I26" s="113"/>
      <c r="K26" s="104"/>
      <c r="L26" s="88" t="s">
        <v>105</v>
      </c>
      <c r="M26" s="90">
        <v>5</v>
      </c>
      <c r="N26" s="70">
        <f>M26</f>
        <v>5</v>
      </c>
      <c r="O26" s="80"/>
      <c r="P26" s="79" t="s">
        <v>88</v>
      </c>
      <c r="Q26" s="112"/>
      <c r="R26" s="113"/>
      <c r="S26" s="29"/>
      <c r="T26" s="113"/>
      <c r="U26" s="38"/>
      <c r="V26" s="29"/>
      <c r="W26" s="38"/>
      <c r="X26" s="38"/>
    </row>
    <row r="27" spans="2:24" ht="15.75" thickBot="1">
      <c r="B27" s="104"/>
      <c r="C27" s="88" t="s">
        <v>126</v>
      </c>
      <c r="D27" s="92">
        <v>0</v>
      </c>
      <c r="E27" s="70"/>
      <c r="F27" s="80"/>
      <c r="G27" s="79" t="s">
        <v>127</v>
      </c>
      <c r="H27" s="112"/>
      <c r="I27" s="113"/>
      <c r="K27" s="104"/>
      <c r="L27" s="88"/>
      <c r="M27" s="92">
        <v>0</v>
      </c>
      <c r="N27" s="70"/>
      <c r="O27" s="80"/>
      <c r="P27" s="79" t="s">
        <v>127</v>
      </c>
      <c r="Q27" s="112"/>
      <c r="R27" s="113"/>
      <c r="S27" s="29"/>
      <c r="T27" s="113"/>
      <c r="U27" s="38"/>
      <c r="V27" s="29"/>
      <c r="W27" s="38"/>
      <c r="X27" s="38"/>
    </row>
    <row r="28" spans="2:24" ht="15.75" thickBot="1">
      <c r="B28" s="104"/>
      <c r="C28" s="38" t="s">
        <v>89</v>
      </c>
      <c r="D28" s="90"/>
      <c r="E28" s="70">
        <f>IF(D28="",F28,D28)</f>
        <v>10</v>
      </c>
      <c r="F28" s="80">
        <f>IF(D28="",VLOOKUP(D$12,Hypothèses!$B$9:$I$23,8,0),"")</f>
        <v>10</v>
      </c>
      <c r="G28" s="42" t="s">
        <v>90</v>
      </c>
      <c r="H28" s="112"/>
      <c r="I28" s="113"/>
      <c r="K28" s="104"/>
      <c r="L28" s="38" t="s">
        <v>89</v>
      </c>
      <c r="M28" s="90"/>
      <c r="N28" s="70">
        <f>IF(M28="",O28,M28)</f>
        <v>10</v>
      </c>
      <c r="O28" s="80">
        <f>IF(M28="",VLOOKUP(M$12,Hypothèses!$B$9:$I$23,8,0),"")</f>
        <v>10</v>
      </c>
      <c r="P28" s="42" t="s">
        <v>90</v>
      </c>
      <c r="Q28" s="112"/>
      <c r="R28" s="113"/>
      <c r="S28" s="29"/>
      <c r="T28" s="113"/>
      <c r="U28" s="38"/>
      <c r="V28" s="29"/>
      <c r="W28" s="38"/>
      <c r="X28" s="38"/>
    </row>
    <row r="29" spans="2:24" ht="15.75" thickBot="1">
      <c r="B29" s="104"/>
      <c r="C29" s="18" t="s">
        <v>19</v>
      </c>
      <c r="D29" s="69">
        <f>E22*8.7+(E25+E26)*1000/(E28*60)*E23/1000</f>
        <v>123.1</v>
      </c>
      <c r="E29" s="73"/>
      <c r="F29" s="81"/>
      <c r="G29" s="79" t="s">
        <v>91</v>
      </c>
      <c r="H29" s="10">
        <f>D29*0.07*D6</f>
        <v>51.702000000000005</v>
      </c>
      <c r="I29" s="87">
        <f>H29/H$42</f>
        <v>0.005006329583432935</v>
      </c>
      <c r="K29" s="104"/>
      <c r="L29" s="18" t="s">
        <v>19</v>
      </c>
      <c r="M29" s="69">
        <f>N22*8.7+(N25+N26)*1000/(N28*60)*N23/1000</f>
        <v>123.1</v>
      </c>
      <c r="N29" s="73"/>
      <c r="O29" s="81"/>
      <c r="P29" s="79" t="s">
        <v>91</v>
      </c>
      <c r="Q29" s="10">
        <f>M29*0.07*D6</f>
        <v>51.702000000000005</v>
      </c>
      <c r="R29" s="87">
        <f>Q29/Q$42</f>
        <v>0.005064193037291965</v>
      </c>
      <c r="S29" s="29"/>
      <c r="T29" s="12">
        <f>H29-Q32</f>
        <v>51.702000000000005</v>
      </c>
      <c r="U29" s="38" t="s">
        <v>19</v>
      </c>
      <c r="V29" s="29"/>
      <c r="W29" s="38"/>
      <c r="X29" s="38"/>
    </row>
    <row r="30" spans="2:24" ht="15.75" thickBot="1">
      <c r="B30" s="104"/>
      <c r="C30" s="38" t="s">
        <v>98</v>
      </c>
      <c r="D30" s="9"/>
      <c r="E30" s="70">
        <f>IF(D30="",F30,D30)</f>
        <v>40.43335063</v>
      </c>
      <c r="F30" s="80">
        <f>IF(D30="",VLOOKUP(D$12,Hypothèses!$B$9:$I$23,6,0)*10,"")</f>
        <v>40.43335063</v>
      </c>
      <c r="G30" s="79" t="s">
        <v>93</v>
      </c>
      <c r="H30" s="112"/>
      <c r="I30" s="113"/>
      <c r="K30" s="104"/>
      <c r="L30" s="38" t="s">
        <v>98</v>
      </c>
      <c r="M30" s="9"/>
      <c r="N30" s="70">
        <f>IF(M30="",O30,M30)</f>
        <v>40.43335063</v>
      </c>
      <c r="O30" s="80">
        <f>IF(M30="",VLOOKUP(M$12,Hypothèses!$B$9:$I$23,6,0)*10,"")</f>
        <v>40.43335063</v>
      </c>
      <c r="P30" s="79" t="s">
        <v>93</v>
      </c>
      <c r="Q30" s="112"/>
      <c r="R30" s="113"/>
      <c r="S30" s="29"/>
      <c r="T30" s="113"/>
      <c r="U30" s="38"/>
      <c r="V30" s="29"/>
      <c r="W30" s="38"/>
      <c r="X30" s="38"/>
    </row>
    <row r="31" spans="2:24" ht="15.75" thickBot="1">
      <c r="B31" s="104"/>
      <c r="C31" s="42" t="s">
        <v>125</v>
      </c>
      <c r="D31" s="9"/>
      <c r="E31" s="70">
        <f>35.43</f>
        <v>35.43</v>
      </c>
      <c r="F31" s="80">
        <f>E31</f>
        <v>35.43</v>
      </c>
      <c r="G31" s="79" t="s">
        <v>93</v>
      </c>
      <c r="H31" s="112"/>
      <c r="I31" s="113"/>
      <c r="K31" s="104"/>
      <c r="L31" s="41" t="s">
        <v>122</v>
      </c>
      <c r="M31" s="9"/>
      <c r="N31" s="70">
        <f>35.43</f>
        <v>35.43</v>
      </c>
      <c r="O31" s="80">
        <f>N31</f>
        <v>35.43</v>
      </c>
      <c r="P31" s="79" t="s">
        <v>93</v>
      </c>
      <c r="Q31" s="112"/>
      <c r="R31" s="113"/>
      <c r="S31" s="29"/>
      <c r="T31" s="113"/>
      <c r="U31" s="38"/>
      <c r="V31" s="29"/>
      <c r="W31" s="38"/>
      <c r="X31" s="38"/>
    </row>
    <row r="32" spans="2:24" ht="15.75" thickBot="1">
      <c r="B32" s="105"/>
      <c r="C32" s="38" t="s">
        <v>99</v>
      </c>
      <c r="D32" s="9"/>
      <c r="E32" s="70">
        <f>IF(D32="",F32,D32)</f>
        <v>92.02072901999999</v>
      </c>
      <c r="F32" s="80">
        <f>IF(D32="",VLOOKUP(D$12,Hypothèses!$B$9:$I$23,7,0)*10,"")</f>
        <v>92.02072901999999</v>
      </c>
      <c r="G32" s="79" t="s">
        <v>93</v>
      </c>
      <c r="H32" s="112"/>
      <c r="I32" s="113"/>
      <c r="K32" s="105"/>
      <c r="L32" s="38" t="s">
        <v>99</v>
      </c>
      <c r="M32" s="9"/>
      <c r="N32" s="70">
        <f>IF(M32="",O32,M32)</f>
        <v>92.02072901999999</v>
      </c>
      <c r="O32" s="80">
        <f>IF(M32="",VLOOKUP(M$12,Hypothèses!$B$9:$I$23,7,0)*10,"")</f>
        <v>92.02072901999999</v>
      </c>
      <c r="P32" s="79" t="s">
        <v>93</v>
      </c>
      <c r="Q32" s="112"/>
      <c r="R32" s="113"/>
      <c r="S32" s="29"/>
      <c r="T32" s="113"/>
      <c r="V32" s="29"/>
      <c r="W32" s="38"/>
      <c r="X32" s="38"/>
    </row>
    <row r="33" spans="2:24" ht="15.75" thickBot="1">
      <c r="B33" s="105"/>
      <c r="C33" s="42" t="s">
        <v>128</v>
      </c>
      <c r="D33" s="9"/>
      <c r="E33" s="72">
        <f>87.02</f>
        <v>87.02</v>
      </c>
      <c r="F33" s="80">
        <f>E33</f>
        <v>87.02</v>
      </c>
      <c r="G33" s="79" t="s">
        <v>93</v>
      </c>
      <c r="H33" s="112"/>
      <c r="I33" s="113"/>
      <c r="K33" s="105"/>
      <c r="L33" s="38"/>
      <c r="M33" s="9"/>
      <c r="N33" s="72">
        <f>87.02</f>
        <v>87.02</v>
      </c>
      <c r="O33" s="80">
        <f>N33</f>
        <v>87.02</v>
      </c>
      <c r="P33" s="79"/>
      <c r="Q33" s="112"/>
      <c r="R33" s="113"/>
      <c r="S33" s="29"/>
      <c r="T33" s="113"/>
      <c r="V33" s="29"/>
      <c r="W33" s="38"/>
      <c r="X33" s="38"/>
    </row>
    <row r="34" spans="2:24" ht="15.75" thickBot="1">
      <c r="B34" s="105"/>
      <c r="C34" s="29" t="s">
        <v>106</v>
      </c>
      <c r="D34" s="84">
        <f>((E30*E25)*1-D27)+((E32*E26)*1-D27)+((E31*E25)*D27)+((E33*E26)*D27)</f>
        <v>1470.9374108499999</v>
      </c>
      <c r="E34" s="72"/>
      <c r="F34" s="80"/>
      <c r="G34" s="79" t="s">
        <v>94</v>
      </c>
      <c r="H34" s="10">
        <f>D34*D6</f>
        <v>8825.6244651</v>
      </c>
      <c r="I34" s="87">
        <f>H34/H$42</f>
        <v>0.8545894714304978</v>
      </c>
      <c r="K34" s="105"/>
      <c r="L34" s="29" t="s">
        <v>106</v>
      </c>
      <c r="M34" s="84">
        <f>((N30*N25)*1-M27)+((N32*N26)*1-M27)+((N31*N25)*M27)+((N33*N26)*M27)</f>
        <v>1470.9374108499999</v>
      </c>
      <c r="N34" s="72"/>
      <c r="O34" s="80"/>
      <c r="P34" s="79" t="s">
        <v>94</v>
      </c>
      <c r="Q34" s="10">
        <f>M34*D6</f>
        <v>8825.6244651</v>
      </c>
      <c r="R34" s="87">
        <f>Q34/Q$42</f>
        <v>0.8644668671601299</v>
      </c>
      <c r="S34" s="29"/>
      <c r="T34" s="12">
        <f>H34-Q34</f>
        <v>0</v>
      </c>
      <c r="U34" s="38" t="str">
        <f>L34</f>
        <v>Coûts d'impression par an</v>
      </c>
      <c r="V34" s="29"/>
      <c r="W34" s="38"/>
      <c r="X34" s="38"/>
    </row>
    <row r="35" spans="2:24" ht="15.75" thickBot="1">
      <c r="B35" s="105"/>
      <c r="C35" s="19" t="s">
        <v>21</v>
      </c>
      <c r="D35" s="9">
        <v>50</v>
      </c>
      <c r="E35" s="75"/>
      <c r="F35" s="83"/>
      <c r="G35" s="33"/>
      <c r="H35" s="10">
        <f>IF(D36=0,0,D6*D36*D35)</f>
        <v>600</v>
      </c>
      <c r="I35" s="87">
        <f>H35/H$42</f>
        <v>0.058098289235614886</v>
      </c>
      <c r="K35" s="105"/>
      <c r="L35" s="19" t="s">
        <v>21</v>
      </c>
      <c r="M35" s="9">
        <v>50</v>
      </c>
      <c r="N35" s="75"/>
      <c r="O35" s="83"/>
      <c r="P35" s="33"/>
      <c r="Q35" s="10">
        <f>IF(M36=0,0,D6*M36*M35)</f>
        <v>600</v>
      </c>
      <c r="R35" s="87">
        <f>Q35/Q$42</f>
        <v>0.058769792703864045</v>
      </c>
      <c r="S35" s="29"/>
      <c r="T35" s="12">
        <f>H35-Q35</f>
        <v>0</v>
      </c>
      <c r="U35" s="29" t="s">
        <v>21</v>
      </c>
      <c r="V35" s="29"/>
      <c r="W35" s="38"/>
      <c r="X35" s="38"/>
    </row>
    <row r="36" spans="2:24" ht="15.75" thickBot="1">
      <c r="B36" s="105"/>
      <c r="C36" s="18" t="s">
        <v>100</v>
      </c>
      <c r="D36" s="8">
        <v>2</v>
      </c>
      <c r="E36" s="74"/>
      <c r="F36" s="82"/>
      <c r="G36" s="79" t="s">
        <v>101</v>
      </c>
      <c r="H36" s="112"/>
      <c r="I36" s="113"/>
      <c r="K36" s="105"/>
      <c r="L36" s="18" t="s">
        <v>100</v>
      </c>
      <c r="M36" s="8">
        <v>2</v>
      </c>
      <c r="N36" s="74"/>
      <c r="O36" s="82"/>
      <c r="P36" s="79" t="s">
        <v>101</v>
      </c>
      <c r="Q36" s="112"/>
      <c r="R36" s="113"/>
      <c r="S36" s="29"/>
      <c r="T36" s="113"/>
      <c r="U36" s="38"/>
      <c r="V36" s="29"/>
      <c r="W36" s="38"/>
      <c r="X36" s="38"/>
    </row>
    <row r="37" spans="2:24" ht="15.75" thickBot="1">
      <c r="B37" s="105"/>
      <c r="C37" s="18" t="s">
        <v>118</v>
      </c>
      <c r="D37" s="9">
        <v>50</v>
      </c>
      <c r="E37" s="74"/>
      <c r="F37" s="82"/>
      <c r="G37" s="79"/>
      <c r="H37" s="10">
        <f>D37*G$11</f>
        <v>50</v>
      </c>
      <c r="I37" s="87">
        <f>H37/H$42</f>
        <v>0.0048415241029679075</v>
      </c>
      <c r="K37" s="105"/>
      <c r="L37" s="18" t="s">
        <v>118</v>
      </c>
      <c r="M37" s="9">
        <v>50</v>
      </c>
      <c r="N37" s="74"/>
      <c r="O37" s="82"/>
      <c r="P37" s="79"/>
      <c r="Q37" s="10">
        <f>M37*P$11</f>
        <v>50</v>
      </c>
      <c r="R37" s="87">
        <f>Q37/Q$42</f>
        <v>0.004897482725322004</v>
      </c>
      <c r="S37" s="29"/>
      <c r="T37" s="113"/>
      <c r="U37" s="38"/>
      <c r="V37" s="29"/>
      <c r="W37" s="38"/>
      <c r="X37" s="38"/>
    </row>
    <row r="38" spans="2:24" ht="15.75" thickBot="1">
      <c r="B38" s="106"/>
      <c r="C38" s="18" t="s">
        <v>22</v>
      </c>
      <c r="D38" s="7">
        <v>20</v>
      </c>
      <c r="E38" s="71"/>
      <c r="F38" s="78"/>
      <c r="G38" s="79"/>
      <c r="H38" s="10">
        <f>D38*G$11</f>
        <v>20</v>
      </c>
      <c r="I38" s="87">
        <f>H38/H$42</f>
        <v>0.0019366096411871628</v>
      </c>
      <c r="K38" s="106"/>
      <c r="L38" s="18" t="s">
        <v>22</v>
      </c>
      <c r="M38" s="7">
        <v>20</v>
      </c>
      <c r="N38" s="71"/>
      <c r="O38" s="78"/>
      <c r="P38" s="79"/>
      <c r="Q38" s="10">
        <f>M38*P$11</f>
        <v>20</v>
      </c>
      <c r="R38" s="87">
        <f>Q38/Q$42</f>
        <v>0.0019589930901288016</v>
      </c>
      <c r="S38" s="29"/>
      <c r="T38" s="12">
        <f>H38-Q38</f>
        <v>0</v>
      </c>
      <c r="U38" s="38" t="s">
        <v>22</v>
      </c>
      <c r="V38" s="29"/>
      <c r="W38" s="38"/>
      <c r="X38" s="38"/>
    </row>
    <row r="39" spans="2:24" ht="15.75" thickBot="1">
      <c r="B39" s="99" t="s">
        <v>23</v>
      </c>
      <c r="C39" s="18" t="s">
        <v>121</v>
      </c>
      <c r="D39" s="93"/>
      <c r="E39" s="71">
        <f>D39</f>
        <v>0</v>
      </c>
      <c r="F39" s="78"/>
      <c r="G39" s="79"/>
      <c r="H39" s="10">
        <f>-D39*G$11</f>
        <v>0</v>
      </c>
      <c r="I39" s="87">
        <f>H39/H$42</f>
        <v>0</v>
      </c>
      <c r="K39" s="99" t="s">
        <v>23</v>
      </c>
      <c r="L39" s="18" t="s">
        <v>121</v>
      </c>
      <c r="M39" s="7"/>
      <c r="N39" s="71">
        <f>M39</f>
        <v>0</v>
      </c>
      <c r="O39" s="78"/>
      <c r="P39" s="79"/>
      <c r="Q39" s="10">
        <f>-M39*P$11</f>
        <v>0</v>
      </c>
      <c r="R39" s="87">
        <f>Q39/Q$42</f>
        <v>0</v>
      </c>
      <c r="S39" s="29"/>
      <c r="T39" s="12"/>
      <c r="U39" s="38"/>
      <c r="V39" s="29"/>
      <c r="W39" s="38"/>
      <c r="X39" s="38"/>
    </row>
    <row r="40" spans="2:24" ht="15.75" thickBot="1">
      <c r="B40" s="100"/>
      <c r="C40" s="18" t="s">
        <v>24</v>
      </c>
      <c r="D40" s="7">
        <v>30</v>
      </c>
      <c r="E40" s="71"/>
      <c r="F40" s="78"/>
      <c r="G40" s="79"/>
      <c r="H40" s="10">
        <f>D40*G$11</f>
        <v>30</v>
      </c>
      <c r="I40" s="87">
        <f>H40/H$42</f>
        <v>0.0029049144617807445</v>
      </c>
      <c r="K40" s="100"/>
      <c r="L40" s="18" t="s">
        <v>24</v>
      </c>
      <c r="M40" s="7">
        <v>30</v>
      </c>
      <c r="N40" s="71"/>
      <c r="O40" s="78"/>
      <c r="P40" s="79"/>
      <c r="Q40" s="10">
        <f>M40*P$11</f>
        <v>30</v>
      </c>
      <c r="R40" s="87">
        <f>Q40/Q$42</f>
        <v>0.002938489635193202</v>
      </c>
      <c r="S40" s="29"/>
      <c r="T40" s="12">
        <f>H40-Q40</f>
        <v>0</v>
      </c>
      <c r="U40" s="38" t="s">
        <v>24</v>
      </c>
      <c r="V40" s="29"/>
      <c r="W40" s="38"/>
      <c r="X40" s="38"/>
    </row>
    <row r="41" spans="3:22" ht="15.75" thickBot="1">
      <c r="C41" s="107" t="s">
        <v>0</v>
      </c>
      <c r="D41" s="108"/>
      <c r="E41" s="108"/>
      <c r="F41" s="109"/>
      <c r="G41" s="109"/>
      <c r="H41" s="110"/>
      <c r="I41" s="111"/>
      <c r="L41" s="107" t="s">
        <v>0</v>
      </c>
      <c r="M41" s="108"/>
      <c r="N41" s="108"/>
      <c r="O41" s="109"/>
      <c r="P41" s="109"/>
      <c r="Q41" s="110"/>
      <c r="R41" s="111"/>
      <c r="S41" s="29"/>
      <c r="T41" s="113"/>
      <c r="U41" s="29"/>
      <c r="V41" s="29"/>
    </row>
    <row r="42" spans="3:22" ht="15">
      <c r="C42" s="29"/>
      <c r="D42" s="40"/>
      <c r="E42" s="40"/>
      <c r="F42" s="40"/>
      <c r="G42" s="41" t="s">
        <v>28</v>
      </c>
      <c r="H42" s="11">
        <f>SUM(H15:H40)</f>
        <v>10327.326465099999</v>
      </c>
      <c r="I42" s="29" t="str">
        <f>"pour "&amp;$D$6&amp;" "&amp;$F$6</f>
        <v>pour 6 année(s) d'utilisation</v>
      </c>
      <c r="J42" s="29"/>
      <c r="L42" s="29"/>
      <c r="M42" s="40"/>
      <c r="N42" s="40"/>
      <c r="O42" s="40"/>
      <c r="P42" s="41" t="s">
        <v>28</v>
      </c>
      <c r="Q42" s="11">
        <f>SUM(Q15:Q40)</f>
        <v>10209.326465099999</v>
      </c>
      <c r="R42" s="29" t="str">
        <f>"pour "&amp;$D$6&amp;" "&amp;$F$6</f>
        <v>pour 6 année(s) d'utilisation</v>
      </c>
      <c r="S42" s="29"/>
      <c r="T42" s="12">
        <f>H42-Q42</f>
        <v>118</v>
      </c>
      <c r="U42" s="42" t="s">
        <v>28</v>
      </c>
      <c r="V42" s="29"/>
    </row>
    <row r="43" spans="3:22" ht="15">
      <c r="C43" s="29"/>
      <c r="D43" s="40"/>
      <c r="E43" s="40"/>
      <c r="F43" s="40"/>
      <c r="G43" s="41" t="s">
        <v>131</v>
      </c>
      <c r="H43" s="11">
        <f>H42/D6</f>
        <v>1721.2210775166666</v>
      </c>
      <c r="I43" s="29"/>
      <c r="J43" s="29"/>
      <c r="L43" s="29"/>
      <c r="M43" s="40"/>
      <c r="N43" s="40"/>
      <c r="O43" s="40"/>
      <c r="P43" s="41" t="s">
        <v>131</v>
      </c>
      <c r="Q43" s="11">
        <f>Q42/D6</f>
        <v>1701.5544108499998</v>
      </c>
      <c r="R43" s="29"/>
      <c r="S43" s="29"/>
      <c r="T43" s="12">
        <f>H43-Q43</f>
        <v>19.666666666666742</v>
      </c>
      <c r="U43" s="42" t="s">
        <v>131</v>
      </c>
      <c r="V43" s="29"/>
    </row>
    <row r="44" spans="3:22" ht="15">
      <c r="C44" s="29"/>
      <c r="D44" s="43"/>
      <c r="E44" s="43"/>
      <c r="F44" s="43"/>
      <c r="G44" s="41" t="s">
        <v>29</v>
      </c>
      <c r="H44" s="12">
        <f>H42/((D25+D26)*D6*1000)</f>
        <v>0.05737403591722222</v>
      </c>
      <c r="I44" s="29"/>
      <c r="J44" s="29"/>
      <c r="L44" s="29"/>
      <c r="M44" s="43"/>
      <c r="N44" s="43"/>
      <c r="O44" s="43"/>
      <c r="P44" s="41" t="s">
        <v>29</v>
      </c>
      <c r="Q44" s="12">
        <f>Q42/((M25+M26)*D6*1000)</f>
        <v>0.056718480361666664</v>
      </c>
      <c r="R44" s="29"/>
      <c r="S44" s="29"/>
      <c r="T44" s="12">
        <f>H44-Q44</f>
        <v>0.0006555555555555551</v>
      </c>
      <c r="U44" s="42" t="s">
        <v>29</v>
      </c>
      <c r="V44" s="29"/>
    </row>
    <row r="46" spans="1:2" ht="15">
      <c r="A46" s="44"/>
      <c r="B46" s="44"/>
    </row>
    <row r="47" spans="1:2" ht="15">
      <c r="A47" s="45"/>
      <c r="B47" s="45"/>
    </row>
    <row r="59" ht="18.75" customHeight="1"/>
    <row r="60" ht="18.75" customHeight="1"/>
    <row r="61" ht="18.75" customHeight="1"/>
    <row r="62" ht="18.75" customHeight="1"/>
    <row r="63" ht="18.75" customHeight="1" thickBot="1"/>
    <row r="64" spans="3:7" ht="15.75" customHeight="1">
      <c r="C64" s="17"/>
      <c r="D64" s="51" t="s">
        <v>32</v>
      </c>
      <c r="E64" s="51"/>
      <c r="F64" s="51"/>
      <c r="G64" s="52" t="s">
        <v>33</v>
      </c>
    </row>
    <row r="65" spans="3:7" ht="15">
      <c r="C65" s="18" t="s">
        <v>11</v>
      </c>
      <c r="D65" s="50">
        <f aca="true" t="shared" si="1" ref="D65:D70">H15</f>
        <v>418</v>
      </c>
      <c r="E65" s="50"/>
      <c r="F65" s="50"/>
      <c r="G65" s="53">
        <f aca="true" t="shared" si="2" ref="G65:G70">Q15</f>
        <v>300</v>
      </c>
    </row>
    <row r="66" spans="3:7" ht="15">
      <c r="C66" s="18" t="s">
        <v>12</v>
      </c>
      <c r="D66" s="50">
        <f t="shared" si="1"/>
        <v>300</v>
      </c>
      <c r="E66" s="50"/>
      <c r="F66" s="50"/>
      <c r="G66" s="53">
        <f t="shared" si="2"/>
        <v>300</v>
      </c>
    </row>
    <row r="67" spans="3:7" ht="15">
      <c r="C67" s="18" t="s">
        <v>119</v>
      </c>
      <c r="D67" s="50">
        <f t="shared" si="1"/>
        <v>0</v>
      </c>
      <c r="E67" s="50"/>
      <c r="F67" s="50"/>
      <c r="G67" s="53">
        <f t="shared" si="2"/>
        <v>0</v>
      </c>
    </row>
    <row r="68" spans="3:7" ht="15">
      <c r="C68" s="18" t="s">
        <v>13</v>
      </c>
      <c r="D68" s="50">
        <f t="shared" si="1"/>
        <v>30</v>
      </c>
      <c r="E68" s="50"/>
      <c r="F68" s="50"/>
      <c r="G68" s="53">
        <f t="shared" si="2"/>
        <v>30</v>
      </c>
    </row>
    <row r="69" spans="3:7" ht="15">
      <c r="C69" s="18" t="s">
        <v>17</v>
      </c>
      <c r="D69" s="50">
        <f t="shared" si="1"/>
        <v>2</v>
      </c>
      <c r="E69" s="50"/>
      <c r="F69" s="50"/>
      <c r="G69" s="53">
        <f t="shared" si="2"/>
        <v>2</v>
      </c>
    </row>
    <row r="70" spans="3:7" ht="15">
      <c r="C70" s="18" t="s">
        <v>18</v>
      </c>
      <c r="D70" s="50">
        <f t="shared" si="1"/>
        <v>0</v>
      </c>
      <c r="E70" s="50"/>
      <c r="F70" s="50"/>
      <c r="G70" s="53">
        <f t="shared" si="2"/>
        <v>0</v>
      </c>
    </row>
    <row r="71" spans="3:7" ht="15">
      <c r="C71" s="18" t="s">
        <v>19</v>
      </c>
      <c r="D71" s="50">
        <f>H29</f>
        <v>51.702000000000005</v>
      </c>
      <c r="E71" s="50"/>
      <c r="F71" s="50"/>
      <c r="G71" s="53">
        <f>Q29</f>
        <v>51.702000000000005</v>
      </c>
    </row>
    <row r="72" spans="3:7" ht="15">
      <c r="C72" s="18" t="s">
        <v>106</v>
      </c>
      <c r="D72" s="50">
        <f>H34</f>
        <v>8825.6244651</v>
      </c>
      <c r="E72" s="50"/>
      <c r="F72" s="50"/>
      <c r="G72" s="53">
        <f>Q34</f>
        <v>8825.6244651</v>
      </c>
    </row>
    <row r="73" spans="3:7" ht="15">
      <c r="C73" s="19" t="s">
        <v>21</v>
      </c>
      <c r="D73" s="50">
        <f>H35</f>
        <v>600</v>
      </c>
      <c r="E73" s="50"/>
      <c r="F73" s="50"/>
      <c r="G73" s="53">
        <f>Q35</f>
        <v>600</v>
      </c>
    </row>
    <row r="74" spans="3:7" ht="15">
      <c r="C74" s="19" t="s">
        <v>129</v>
      </c>
      <c r="D74" s="50">
        <f>H37</f>
        <v>50</v>
      </c>
      <c r="E74" s="50"/>
      <c r="F74" s="50"/>
      <c r="G74" s="53">
        <f>Q37</f>
        <v>50</v>
      </c>
    </row>
    <row r="75" spans="3:7" ht="15">
      <c r="C75" s="18" t="s">
        <v>22</v>
      </c>
      <c r="D75" s="50">
        <f>H38</f>
        <v>20</v>
      </c>
      <c r="E75" s="50"/>
      <c r="F75" s="50"/>
      <c r="G75" s="53">
        <f>Q38</f>
        <v>20</v>
      </c>
    </row>
    <row r="76" spans="3:7" ht="15">
      <c r="C76" s="18" t="s">
        <v>24</v>
      </c>
      <c r="D76" s="50">
        <f>H40</f>
        <v>30</v>
      </c>
      <c r="E76" s="50"/>
      <c r="F76" s="50"/>
      <c r="G76" s="53">
        <f>Q40</f>
        <v>30</v>
      </c>
    </row>
    <row r="77" spans="3:7" ht="15.75" thickBot="1">
      <c r="C77" s="54" t="s">
        <v>25</v>
      </c>
      <c r="D77" s="55">
        <f>H40</f>
        <v>30</v>
      </c>
      <c r="E77" s="55"/>
      <c r="F77" s="55"/>
      <c r="G77" s="56">
        <f>Q40</f>
        <v>30</v>
      </c>
    </row>
    <row r="84" ht="15" hidden="1">
      <c r="C84" t="s">
        <v>64</v>
      </c>
    </row>
    <row r="85" ht="15" hidden="1">
      <c r="C85" t="s">
        <v>95</v>
      </c>
    </row>
    <row r="86" ht="15" hidden="1">
      <c r="C86" t="s">
        <v>68</v>
      </c>
    </row>
    <row r="87" ht="15" hidden="1">
      <c r="C87" t="s">
        <v>69</v>
      </c>
    </row>
    <row r="88" ht="15" hidden="1">
      <c r="C88" t="s">
        <v>70</v>
      </c>
    </row>
    <row r="89" ht="15" hidden="1">
      <c r="C89" t="s">
        <v>71</v>
      </c>
    </row>
    <row r="90" ht="15" hidden="1">
      <c r="C90" t="s">
        <v>72</v>
      </c>
    </row>
    <row r="91" ht="15" hidden="1">
      <c r="C91" t="s">
        <v>73</v>
      </c>
    </row>
    <row r="92" ht="15" hidden="1">
      <c r="C92" t="s">
        <v>74</v>
      </c>
    </row>
    <row r="93" ht="15" hidden="1">
      <c r="C93" t="s">
        <v>76</v>
      </c>
    </row>
    <row r="94" ht="15" hidden="1">
      <c r="C94" t="s">
        <v>77</v>
      </c>
    </row>
    <row r="95" ht="15" hidden="1">
      <c r="C95" t="s">
        <v>78</v>
      </c>
    </row>
    <row r="96" ht="15" hidden="1">
      <c r="C96" t="s">
        <v>79</v>
      </c>
    </row>
    <row r="97" ht="15" hidden="1">
      <c r="C97" t="s">
        <v>80</v>
      </c>
    </row>
    <row r="98" ht="15" hidden="1"/>
    <row r="99" ht="15" hidden="1"/>
    <row r="100" ht="15" hidden="1"/>
  </sheetData>
  <sheetProtection selectLockedCells="1"/>
  <mergeCells count="10">
    <mergeCell ref="B39:B40"/>
    <mergeCell ref="K39:K40"/>
    <mergeCell ref="D12:G12"/>
    <mergeCell ref="B20:B38"/>
    <mergeCell ref="C41:I41"/>
    <mergeCell ref="M12:P12"/>
    <mergeCell ref="K20:K38"/>
    <mergeCell ref="L41:R41"/>
    <mergeCell ref="B15:B17"/>
    <mergeCell ref="K15:K17"/>
  </mergeCells>
  <dataValidations count="1">
    <dataValidation type="list" allowBlank="1" showInputMessage="1" showErrorMessage="1" sqref="D12:G12 M12:P12">
      <formula1>$C$84:$C$97</formula1>
    </dataValidation>
  </dataValidation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10" sqref="B10:B23"/>
    </sheetView>
  </sheetViews>
  <sheetFormatPr defaultColWidth="9.140625" defaultRowHeight="15"/>
  <cols>
    <col min="1" max="1" width="9.140625" style="0" customWidth="1"/>
    <col min="2" max="2" width="49.00390625" style="0" customWidth="1"/>
    <col min="3" max="3" width="14.421875" style="0" customWidth="1"/>
    <col min="4" max="4" width="14.140625" style="0" customWidth="1"/>
    <col min="5" max="5" width="15.57421875" style="0" customWidth="1"/>
    <col min="6" max="6" width="16.421875" style="0" customWidth="1"/>
    <col min="7" max="7" width="14.7109375" style="0" customWidth="1"/>
    <col min="8" max="8" width="14.57421875" style="0" bestFit="1" customWidth="1"/>
  </cols>
  <sheetData>
    <row r="1" spans="1:8" ht="15">
      <c r="A1" t="b">
        <v>1</v>
      </c>
      <c r="B1" s="65" t="s">
        <v>47</v>
      </c>
      <c r="C1" s="65"/>
      <c r="D1" s="65"/>
      <c r="E1" s="65"/>
      <c r="F1" s="65" t="s">
        <v>48</v>
      </c>
      <c r="G1" s="65" t="s">
        <v>49</v>
      </c>
      <c r="H1" s="65" t="s">
        <v>50</v>
      </c>
    </row>
    <row r="2" spans="1:8" ht="15">
      <c r="A2" t="b">
        <v>1</v>
      </c>
      <c r="B2" t="s">
        <v>51</v>
      </c>
      <c r="F2">
        <v>242</v>
      </c>
      <c r="G2" t="s">
        <v>52</v>
      </c>
      <c r="H2" s="66" t="s">
        <v>53</v>
      </c>
    </row>
    <row r="3" spans="2:8" ht="15">
      <c r="B3" t="s">
        <v>54</v>
      </c>
      <c r="F3" t="s">
        <v>55</v>
      </c>
      <c r="H3" s="66" t="s">
        <v>65</v>
      </c>
    </row>
    <row r="4" spans="2:7" ht="15">
      <c r="B4" t="s">
        <v>56</v>
      </c>
      <c r="F4">
        <v>0.07</v>
      </c>
      <c r="G4" t="s">
        <v>57</v>
      </c>
    </row>
    <row r="7" ht="15">
      <c r="B7" t="s">
        <v>75</v>
      </c>
    </row>
    <row r="8" spans="2:9" ht="15">
      <c r="B8" s="65"/>
      <c r="C8">
        <v>2</v>
      </c>
      <c r="D8">
        <f aca="true" t="shared" si="0" ref="D8:I8">C8+1</f>
        <v>3</v>
      </c>
      <c r="E8">
        <f t="shared" si="0"/>
        <v>4</v>
      </c>
      <c r="F8">
        <f t="shared" si="0"/>
        <v>5</v>
      </c>
      <c r="G8">
        <f t="shared" si="0"/>
        <v>6</v>
      </c>
      <c r="H8">
        <f t="shared" si="0"/>
        <v>7</v>
      </c>
      <c r="I8">
        <f t="shared" si="0"/>
        <v>8</v>
      </c>
    </row>
    <row r="9" spans="3:9" ht="15">
      <c r="C9" t="s">
        <v>60</v>
      </c>
      <c r="D9" t="s">
        <v>62</v>
      </c>
      <c r="E9" t="s">
        <v>63</v>
      </c>
      <c r="F9" t="s">
        <v>61</v>
      </c>
      <c r="G9" t="s">
        <v>66</v>
      </c>
      <c r="H9" t="s">
        <v>67</v>
      </c>
      <c r="I9" t="s">
        <v>87</v>
      </c>
    </row>
    <row r="10" spans="2:9" ht="15">
      <c r="B10" t="s">
        <v>64</v>
      </c>
      <c r="C10">
        <v>1</v>
      </c>
      <c r="D10">
        <v>15</v>
      </c>
      <c r="E10">
        <v>6</v>
      </c>
      <c r="F10" s="85">
        <v>76.68394085</v>
      </c>
      <c r="G10" s="85">
        <v>6.97126735</v>
      </c>
      <c r="H10" s="85">
        <v>20.774376703</v>
      </c>
      <c r="I10">
        <f>(10+6)/2</f>
        <v>8</v>
      </c>
    </row>
    <row r="11" spans="2:9" ht="15">
      <c r="B11" t="s">
        <v>95</v>
      </c>
      <c r="C11">
        <v>1</v>
      </c>
      <c r="D11">
        <v>15</v>
      </c>
      <c r="E11">
        <v>6</v>
      </c>
      <c r="F11" s="85">
        <v>104.56901025</v>
      </c>
      <c r="G11" s="85">
        <v>5.7164392269999995</v>
      </c>
      <c r="H11" s="85">
        <v>19.51954858</v>
      </c>
      <c r="I11">
        <f>(10+6)/2</f>
        <v>8</v>
      </c>
    </row>
    <row r="12" spans="2:9" ht="15">
      <c r="B12" t="s">
        <v>68</v>
      </c>
      <c r="C12">
        <v>7</v>
      </c>
      <c r="D12">
        <v>300</v>
      </c>
      <c r="E12">
        <v>6</v>
      </c>
      <c r="F12" s="85">
        <v>181.2529511</v>
      </c>
      <c r="G12" s="85">
        <v>5.9952899209999995</v>
      </c>
      <c r="H12" s="85">
        <v>0</v>
      </c>
      <c r="I12">
        <v>20</v>
      </c>
    </row>
    <row r="13" spans="2:9" ht="15">
      <c r="B13" t="s">
        <v>69</v>
      </c>
      <c r="C13">
        <v>3</v>
      </c>
      <c r="D13">
        <v>400</v>
      </c>
      <c r="E13">
        <v>6</v>
      </c>
      <c r="F13" s="85">
        <v>278.850694</v>
      </c>
      <c r="G13" s="85">
        <v>4.18276041</v>
      </c>
      <c r="H13" s="85">
        <v>0</v>
      </c>
      <c r="I13">
        <v>22</v>
      </c>
    </row>
    <row r="14" spans="2:9" ht="15">
      <c r="B14" t="s">
        <v>70</v>
      </c>
      <c r="C14">
        <v>9</v>
      </c>
      <c r="D14">
        <v>550</v>
      </c>
      <c r="E14">
        <v>6</v>
      </c>
      <c r="F14" s="85">
        <v>585.5864574</v>
      </c>
      <c r="G14" s="85">
        <v>3.6250590220000003</v>
      </c>
      <c r="H14" s="85">
        <v>0</v>
      </c>
      <c r="I14">
        <v>22</v>
      </c>
    </row>
    <row r="15" spans="2:9" ht="15">
      <c r="B15" t="s">
        <v>71</v>
      </c>
      <c r="C15">
        <v>40</v>
      </c>
      <c r="D15">
        <v>650</v>
      </c>
      <c r="E15">
        <v>6</v>
      </c>
      <c r="F15" s="85">
        <v>2788.50694</v>
      </c>
      <c r="G15" s="85">
        <v>2.927932287</v>
      </c>
      <c r="H15" s="85">
        <v>0</v>
      </c>
      <c r="I15">
        <v>32</v>
      </c>
    </row>
    <row r="16" spans="2:9" ht="15">
      <c r="B16" t="s">
        <v>72</v>
      </c>
      <c r="C16">
        <v>40</v>
      </c>
      <c r="D16">
        <v>650</v>
      </c>
      <c r="E16">
        <v>6</v>
      </c>
      <c r="F16" s="85">
        <v>3485.633675</v>
      </c>
      <c r="G16" s="85">
        <v>1.951954858</v>
      </c>
      <c r="H16" s="85">
        <v>0</v>
      </c>
      <c r="I16">
        <v>32</v>
      </c>
    </row>
    <row r="17" spans="2:9" ht="15">
      <c r="B17" t="s">
        <v>73</v>
      </c>
      <c r="C17">
        <v>13</v>
      </c>
      <c r="D17">
        <v>200</v>
      </c>
      <c r="E17">
        <v>6</v>
      </c>
      <c r="F17" s="85">
        <v>418.276041</v>
      </c>
      <c r="G17" s="85">
        <v>4.043335063</v>
      </c>
      <c r="H17" s="85">
        <v>9.202072902</v>
      </c>
      <c r="I17">
        <f>(16+4)/2</f>
        <v>10</v>
      </c>
    </row>
    <row r="18" spans="2:9" ht="15">
      <c r="B18" t="s">
        <v>74</v>
      </c>
      <c r="C18">
        <v>13</v>
      </c>
      <c r="D18">
        <v>650</v>
      </c>
      <c r="E18">
        <v>6</v>
      </c>
      <c r="F18" s="85">
        <v>3067.357634</v>
      </c>
      <c r="G18" s="85">
        <v>4.043335063</v>
      </c>
      <c r="H18" s="85">
        <v>8.086670126</v>
      </c>
      <c r="I18">
        <v>22</v>
      </c>
    </row>
    <row r="19" spans="2:9" ht="15">
      <c r="B19" t="s">
        <v>76</v>
      </c>
      <c r="C19">
        <v>4</v>
      </c>
      <c r="D19">
        <v>25</v>
      </c>
      <c r="E19">
        <v>6</v>
      </c>
      <c r="F19" s="85">
        <v>278.850694</v>
      </c>
      <c r="G19" s="85">
        <v>6.97126735</v>
      </c>
      <c r="H19" s="85">
        <v>20.774376703</v>
      </c>
      <c r="I19">
        <f>(10+6)/2</f>
        <v>8</v>
      </c>
    </row>
    <row r="20" spans="2:9" ht="15">
      <c r="B20" t="s">
        <v>77</v>
      </c>
      <c r="C20">
        <v>15</v>
      </c>
      <c r="D20">
        <v>600</v>
      </c>
      <c r="E20">
        <v>6</v>
      </c>
      <c r="F20" s="85">
        <v>697.126735</v>
      </c>
      <c r="G20" s="85">
        <v>3.6250590220000003</v>
      </c>
      <c r="H20" s="85">
        <v>9.202072902</v>
      </c>
      <c r="I20">
        <f>(12+6)/2</f>
        <v>9</v>
      </c>
    </row>
    <row r="21" spans="2:9" ht="15">
      <c r="B21" t="s">
        <v>78</v>
      </c>
      <c r="C21">
        <v>15</v>
      </c>
      <c r="D21">
        <v>500</v>
      </c>
      <c r="E21">
        <v>6</v>
      </c>
      <c r="F21" s="85">
        <v>975.977429</v>
      </c>
      <c r="G21" s="85">
        <v>3.6250590220000003</v>
      </c>
      <c r="H21" s="85">
        <v>9.202072902</v>
      </c>
      <c r="I21">
        <f>(12+6)/2</f>
        <v>9</v>
      </c>
    </row>
    <row r="22" spans="2:9" ht="15">
      <c r="B22" t="s">
        <v>79</v>
      </c>
      <c r="C22">
        <v>10</v>
      </c>
      <c r="D22">
        <v>500</v>
      </c>
      <c r="E22">
        <v>6</v>
      </c>
      <c r="F22" s="85">
        <v>697.126735</v>
      </c>
      <c r="G22" s="85">
        <v>4.18276041</v>
      </c>
      <c r="H22" s="85">
        <v>0</v>
      </c>
      <c r="I22">
        <v>15</v>
      </c>
    </row>
    <row r="23" spans="2:9" ht="15">
      <c r="B23" t="s">
        <v>80</v>
      </c>
      <c r="C23">
        <v>10</v>
      </c>
      <c r="D23">
        <v>1000</v>
      </c>
      <c r="E23">
        <v>6</v>
      </c>
      <c r="F23" s="85">
        <v>13942.5347</v>
      </c>
      <c r="G23" s="85">
        <v>2.927932287</v>
      </c>
      <c r="H23" s="85">
        <v>2.927932287</v>
      </c>
      <c r="I23">
        <v>25</v>
      </c>
    </row>
  </sheetData>
  <sheetProtection/>
  <hyperlinks>
    <hyperlink ref="H2" r:id="rId1" display="http://www.carra.gouv.qc.ca/fra/guide/administration/depart_07_ss03.htm"/>
    <hyperlink ref="H3" r:id="rId2" display="http://www.eu-energystar.org/fr/fr_009.s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Ecole Polytechnique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GChimique</dc:creator>
  <cp:keywords/>
  <dc:description/>
  <cp:lastModifiedBy>Windows User</cp:lastModifiedBy>
  <cp:lastPrinted>2009-08-26T00:28:53Z</cp:lastPrinted>
  <dcterms:created xsi:type="dcterms:W3CDTF">2009-06-10T18:22:44Z</dcterms:created>
  <dcterms:modified xsi:type="dcterms:W3CDTF">2018-04-24T19:05:32Z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