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émi\Documents\1- PROJETS QUANTIS\ECPAR\Fiches techniques\MAJ 11 2013\Coûts Totaux Propriété\"/>
    </mc:Choice>
  </mc:AlternateContent>
  <bookViews>
    <workbookView xWindow="0" yWindow="0" windowWidth="19560" windowHeight="8040" tabRatio="737"/>
  </bookViews>
  <sheets>
    <sheet name="Introduction" sheetId="4" r:id="rId1"/>
    <sheet name="Instructions" sheetId="3" r:id="rId2"/>
    <sheet name="Calculateur_Achat" sheetId="1" r:id="rId3"/>
    <sheet name="Calculateur_LocationLong terme" sheetId="5" r:id="rId4"/>
    <sheet name="Calculateur_LocationCourt-terme" sheetId="6" r:id="rId5"/>
    <sheet name="Hypothèses" sheetId="2" r:id="rId6"/>
  </sheets>
  <definedNames>
    <definedName name="choix">Hypothèses!$C$12:$C$16</definedName>
    <definedName name="Imprimante_Laser">Hypothèses!$F$1:$F$2</definedName>
  </definedNames>
  <calcPr calcId="152511"/>
</workbook>
</file>

<file path=xl/calcChain.xml><?xml version="1.0" encoding="utf-8"?>
<calcChain xmlns="http://schemas.openxmlformats.org/spreadsheetml/2006/main">
  <c r="V61" i="6" l="1"/>
  <c r="V60" i="6"/>
  <c r="V21" i="6"/>
  <c r="V20" i="6"/>
  <c r="V18" i="6"/>
  <c r="V17" i="6"/>
  <c r="V74" i="5"/>
  <c r="V25" i="5"/>
  <c r="V71" i="5"/>
  <c r="V72" i="5"/>
  <c r="V70" i="5"/>
  <c r="V67" i="5"/>
  <c r="V65" i="5"/>
  <c r="V62" i="5"/>
  <c r="V22" i="5"/>
  <c r="V23" i="5"/>
  <c r="V24" i="5"/>
  <c r="V21" i="5"/>
  <c r="V17" i="5"/>
  <c r="V18" i="5"/>
  <c r="V19" i="5"/>
  <c r="V16" i="5"/>
  <c r="V79" i="1"/>
  <c r="V77" i="1"/>
  <c r="V74" i="1"/>
  <c r="V73" i="1"/>
  <c r="V70" i="1"/>
  <c r="V68" i="1"/>
  <c r="V18" i="1"/>
  <c r="V19" i="1"/>
  <c r="V20" i="1"/>
  <c r="V21" i="1"/>
  <c r="V22" i="1"/>
  <c r="V23" i="1"/>
  <c r="V24" i="1"/>
  <c r="E30" i="5" l="1"/>
  <c r="H30" i="5"/>
  <c r="J61" i="6"/>
  <c r="J60" i="6"/>
  <c r="J58" i="6"/>
  <c r="J54" i="6"/>
  <c r="J46" i="6"/>
  <c r="I63" i="6"/>
  <c r="H24" i="1"/>
  <c r="H23" i="1"/>
  <c r="H22" i="1"/>
  <c r="H21" i="1"/>
  <c r="H20" i="1"/>
  <c r="H19" i="1"/>
  <c r="H18" i="1"/>
  <c r="H17" i="1"/>
  <c r="J63" i="6" l="1"/>
  <c r="R46" i="1" l="1"/>
  <c r="R45" i="1"/>
  <c r="T45" i="1" s="1"/>
  <c r="R29" i="1"/>
  <c r="R34" i="1"/>
  <c r="S34" i="1" s="1"/>
  <c r="R51" i="1"/>
  <c r="R68" i="1"/>
  <c r="H68" i="1"/>
  <c r="O45" i="1"/>
  <c r="O44" i="1"/>
  <c r="O61" i="1"/>
  <c r="R61" i="1" s="1"/>
  <c r="T61" i="1" s="1"/>
  <c r="O60" i="1"/>
  <c r="H61" i="1"/>
  <c r="J61" i="1" s="1"/>
  <c r="H65" i="1"/>
  <c r="J65" i="1" s="1"/>
  <c r="E61" i="1"/>
  <c r="E60" i="1"/>
  <c r="H45" i="1"/>
  <c r="H46" i="1"/>
  <c r="E44" i="1"/>
  <c r="E45" i="1"/>
  <c r="I46" i="1" l="1"/>
  <c r="J46" i="1"/>
  <c r="I45" i="1"/>
  <c r="J45" i="1"/>
  <c r="S29" i="1"/>
  <c r="T29" i="1"/>
  <c r="S51" i="1"/>
  <c r="S46" i="1"/>
  <c r="T46" i="1"/>
  <c r="S45" i="1"/>
  <c r="I61" i="1"/>
  <c r="H61" i="6"/>
  <c r="D95" i="6" s="1"/>
  <c r="R60" i="6"/>
  <c r="G94" i="6" s="1"/>
  <c r="H60" i="6"/>
  <c r="H31" i="6"/>
  <c r="I31" i="6" s="1"/>
  <c r="H20" i="6"/>
  <c r="I20" i="6" s="1"/>
  <c r="H17" i="6"/>
  <c r="R64" i="6"/>
  <c r="H64" i="6"/>
  <c r="R61" i="6"/>
  <c r="G95" i="6" s="1"/>
  <c r="R58" i="6"/>
  <c r="T58" i="6" s="1"/>
  <c r="O58" i="6"/>
  <c r="H58" i="6"/>
  <c r="E58" i="6"/>
  <c r="O56" i="6"/>
  <c r="E56" i="6"/>
  <c r="O55" i="6"/>
  <c r="E55" i="6"/>
  <c r="R54" i="6"/>
  <c r="T54" i="6" s="1"/>
  <c r="O54" i="6"/>
  <c r="H54" i="6"/>
  <c r="E54" i="6"/>
  <c r="O52" i="6"/>
  <c r="E52" i="6"/>
  <c r="O51" i="6"/>
  <c r="E51" i="6"/>
  <c r="O50" i="6"/>
  <c r="E50" i="6"/>
  <c r="O49" i="6"/>
  <c r="E49" i="6"/>
  <c r="O46" i="6"/>
  <c r="O45" i="6"/>
  <c r="E45" i="6"/>
  <c r="O44" i="6"/>
  <c r="E44" i="6"/>
  <c r="R41" i="6"/>
  <c r="T41" i="6" s="1"/>
  <c r="O41" i="6"/>
  <c r="H41" i="6"/>
  <c r="J41" i="6" s="1"/>
  <c r="E41" i="6"/>
  <c r="O40" i="6"/>
  <c r="E40" i="6"/>
  <c r="O39" i="6"/>
  <c r="E39" i="6"/>
  <c r="R36" i="6"/>
  <c r="T36" i="6" s="1"/>
  <c r="O36" i="6"/>
  <c r="H36" i="6"/>
  <c r="J36" i="6" s="1"/>
  <c r="E36" i="6"/>
  <c r="O35" i="6"/>
  <c r="E35" i="6"/>
  <c r="O34" i="6"/>
  <c r="E34" i="6"/>
  <c r="R31" i="6"/>
  <c r="O31" i="6"/>
  <c r="E31" i="6"/>
  <c r="O30" i="6"/>
  <c r="E30" i="6"/>
  <c r="O29" i="6"/>
  <c r="E29" i="6"/>
  <c r="R26" i="6"/>
  <c r="O26" i="6"/>
  <c r="H26" i="6"/>
  <c r="J26" i="6" s="1"/>
  <c r="E26" i="6"/>
  <c r="O25" i="6"/>
  <c r="E25" i="6"/>
  <c r="O24" i="6"/>
  <c r="E24" i="6"/>
  <c r="R21" i="6"/>
  <c r="H21" i="6"/>
  <c r="S20" i="6"/>
  <c r="R20" i="6"/>
  <c r="G91" i="6" s="1"/>
  <c r="R18" i="6"/>
  <c r="H18" i="6"/>
  <c r="D90" i="6" s="1"/>
  <c r="R17" i="6"/>
  <c r="G89" i="6" s="1"/>
  <c r="Q14" i="6"/>
  <c r="S61" i="6" s="1"/>
  <c r="G14" i="6"/>
  <c r="I61" i="6" s="1"/>
  <c r="G113" i="5"/>
  <c r="G112" i="5"/>
  <c r="G108" i="5"/>
  <c r="G107" i="5"/>
  <c r="G104" i="5"/>
  <c r="G103" i="5"/>
  <c r="G100" i="5"/>
  <c r="D114" i="5"/>
  <c r="D113" i="5"/>
  <c r="D110" i="5"/>
  <c r="O62" i="5"/>
  <c r="O58" i="5"/>
  <c r="O50" i="5"/>
  <c r="O45" i="5"/>
  <c r="O40" i="5"/>
  <c r="O35" i="5"/>
  <c r="O30" i="5"/>
  <c r="R62" i="5"/>
  <c r="R58" i="5"/>
  <c r="R40" i="5"/>
  <c r="R35" i="5"/>
  <c r="R30" i="5"/>
  <c r="H72" i="5"/>
  <c r="H71" i="5"/>
  <c r="H67" i="5"/>
  <c r="D111" i="5" s="1"/>
  <c r="H65" i="5"/>
  <c r="H62" i="5"/>
  <c r="H58" i="5"/>
  <c r="E62" i="5"/>
  <c r="E58" i="5"/>
  <c r="E45" i="5"/>
  <c r="E40" i="5"/>
  <c r="E35" i="5"/>
  <c r="H45" i="5"/>
  <c r="H40" i="5"/>
  <c r="H35" i="5"/>
  <c r="O56" i="5"/>
  <c r="E56" i="5"/>
  <c r="R25" i="5"/>
  <c r="R24" i="5"/>
  <c r="R23" i="5"/>
  <c r="G106" i="5" s="1"/>
  <c r="R22" i="5"/>
  <c r="G105" i="5" s="1"/>
  <c r="S21" i="5"/>
  <c r="R21" i="5"/>
  <c r="R19" i="5"/>
  <c r="R18" i="5"/>
  <c r="G102" i="5" s="1"/>
  <c r="R17" i="5"/>
  <c r="G101" i="5" s="1"/>
  <c r="R16" i="5"/>
  <c r="H25" i="5"/>
  <c r="D108" i="5" s="1"/>
  <c r="H24" i="5"/>
  <c r="D107" i="5" s="1"/>
  <c r="H23" i="5"/>
  <c r="D106" i="5" s="1"/>
  <c r="H22" i="5"/>
  <c r="D105" i="5" s="1"/>
  <c r="H21" i="5"/>
  <c r="I21" i="5" s="1"/>
  <c r="H19" i="5"/>
  <c r="D103" i="5" s="1"/>
  <c r="H17" i="5"/>
  <c r="D101" i="5" s="1"/>
  <c r="H18" i="5"/>
  <c r="H16" i="5"/>
  <c r="H77" i="1"/>
  <c r="R77" i="1"/>
  <c r="D109" i="1"/>
  <c r="D110" i="1"/>
  <c r="R20" i="1"/>
  <c r="G108" i="1" s="1"/>
  <c r="R19" i="1"/>
  <c r="G107" i="1" s="1"/>
  <c r="O57" i="1"/>
  <c r="E57" i="1"/>
  <c r="D107" i="1"/>
  <c r="D108" i="1"/>
  <c r="O65" i="1"/>
  <c r="O64" i="1"/>
  <c r="O51" i="1"/>
  <c r="O46" i="1"/>
  <c r="O34" i="1"/>
  <c r="O29" i="1"/>
  <c r="H51" i="1"/>
  <c r="J51" i="1" s="1"/>
  <c r="H34" i="1"/>
  <c r="J34" i="1" s="1"/>
  <c r="E51" i="1"/>
  <c r="E46" i="1"/>
  <c r="E34" i="1"/>
  <c r="R71" i="5"/>
  <c r="N70" i="5"/>
  <c r="R70" i="5" s="1"/>
  <c r="D70" i="5"/>
  <c r="H70" i="5" s="1"/>
  <c r="D112" i="5" s="1"/>
  <c r="R67" i="5"/>
  <c r="G111" i="5" s="1"/>
  <c r="R65" i="5"/>
  <c r="G110" i="5" s="1"/>
  <c r="R72" i="5"/>
  <c r="G114" i="5" s="1"/>
  <c r="R70" i="1"/>
  <c r="G115" i="1" s="1"/>
  <c r="H70" i="1"/>
  <c r="D115" i="1" s="1"/>
  <c r="R22" i="1"/>
  <c r="G110" i="1" s="1"/>
  <c r="R24" i="1"/>
  <c r="R23" i="1"/>
  <c r="R21" i="1"/>
  <c r="G109" i="1" s="1"/>
  <c r="S26" i="6" l="1"/>
  <c r="T26" i="6"/>
  <c r="D91" i="6"/>
  <c r="I18" i="6"/>
  <c r="I21" i="6"/>
  <c r="I26" i="6"/>
  <c r="I17" i="6"/>
  <c r="I60" i="6"/>
  <c r="D104" i="5"/>
  <c r="D53" i="6"/>
  <c r="D57" i="6" s="1"/>
  <c r="D58" i="6" s="1"/>
  <c r="S18" i="6"/>
  <c r="D26" i="6"/>
  <c r="D36" i="6"/>
  <c r="D46" i="6"/>
  <c r="H46" i="6" s="1"/>
  <c r="I46" i="6" s="1"/>
  <c r="N53" i="6"/>
  <c r="N57" i="6" s="1"/>
  <c r="N58" i="6" s="1"/>
  <c r="D92" i="6"/>
  <c r="N31" i="6"/>
  <c r="N36" i="6"/>
  <c r="N41" i="6"/>
  <c r="S17" i="6"/>
  <c r="D31" i="6"/>
  <c r="D41" i="6"/>
  <c r="S41" i="6"/>
  <c r="N46" i="6"/>
  <c r="R46" i="6" s="1"/>
  <c r="V58" i="6" s="1"/>
  <c r="N26" i="6"/>
  <c r="I41" i="6"/>
  <c r="J31" i="6"/>
  <c r="S60" i="6"/>
  <c r="S21" i="6"/>
  <c r="S31" i="6"/>
  <c r="I36" i="6"/>
  <c r="I54" i="6"/>
  <c r="I58" i="6"/>
  <c r="G90" i="6"/>
  <c r="G92" i="6"/>
  <c r="D94" i="6"/>
  <c r="S36" i="6"/>
  <c r="S54" i="6"/>
  <c r="S58" i="6"/>
  <c r="D89" i="6"/>
  <c r="D102" i="5"/>
  <c r="D100" i="5"/>
  <c r="R18" i="1"/>
  <c r="G106" i="1" s="1"/>
  <c r="R17" i="1"/>
  <c r="V17" i="1" s="1"/>
  <c r="T30" i="5"/>
  <c r="R75" i="5"/>
  <c r="H75" i="5"/>
  <c r="T62" i="5"/>
  <c r="I62" i="5"/>
  <c r="O60" i="5"/>
  <c r="E60" i="5"/>
  <c r="O59" i="5"/>
  <c r="E59" i="5"/>
  <c r="S58" i="5"/>
  <c r="I58" i="5"/>
  <c r="O55" i="5"/>
  <c r="N57" i="5" s="1"/>
  <c r="N61" i="5" s="1"/>
  <c r="E55" i="5"/>
  <c r="D57" i="5" s="1"/>
  <c r="D61" i="5" s="1"/>
  <c r="O54" i="5"/>
  <c r="E54" i="5"/>
  <c r="O53" i="5"/>
  <c r="E53" i="5"/>
  <c r="O49" i="5"/>
  <c r="N50" i="5" s="1"/>
  <c r="R50" i="5" s="1"/>
  <c r="E49" i="5"/>
  <c r="O48" i="5"/>
  <c r="E48" i="5"/>
  <c r="O44" i="5"/>
  <c r="E44" i="5"/>
  <c r="O43" i="5"/>
  <c r="E43" i="5"/>
  <c r="T40" i="5"/>
  <c r="I40" i="5"/>
  <c r="O39" i="5"/>
  <c r="E39" i="5"/>
  <c r="O38" i="5"/>
  <c r="E38" i="5"/>
  <c r="T35" i="5"/>
  <c r="I35" i="5"/>
  <c r="O34" i="5"/>
  <c r="E34" i="5"/>
  <c r="O33" i="5"/>
  <c r="E33" i="5"/>
  <c r="D35" i="5" s="1"/>
  <c r="O29" i="5"/>
  <c r="E29" i="5"/>
  <c r="O28" i="5"/>
  <c r="E28" i="5"/>
  <c r="D30" i="5" s="1"/>
  <c r="Q13" i="5"/>
  <c r="S16" i="5" s="1"/>
  <c r="G13" i="5"/>
  <c r="I18" i="5" s="1"/>
  <c r="G119" i="1"/>
  <c r="G114" i="1"/>
  <c r="G112" i="1"/>
  <c r="G111" i="1"/>
  <c r="R80" i="1"/>
  <c r="N73" i="1"/>
  <c r="R73" i="1" s="1"/>
  <c r="G116" i="1" s="1"/>
  <c r="Q13" i="1"/>
  <c r="O75" i="1"/>
  <c r="R74" i="1"/>
  <c r="G117" i="1" s="1"/>
  <c r="O63" i="1"/>
  <c r="O62" i="1"/>
  <c r="O56" i="1"/>
  <c r="N58" i="1" s="1"/>
  <c r="O55" i="1"/>
  <c r="O54" i="1"/>
  <c r="O50" i="1"/>
  <c r="O49" i="1"/>
  <c r="O43" i="1"/>
  <c r="O42" i="1"/>
  <c r="O38" i="1"/>
  <c r="O37" i="1"/>
  <c r="O33" i="1"/>
  <c r="O32" i="1"/>
  <c r="O28" i="1"/>
  <c r="O27" i="1"/>
  <c r="D114" i="1"/>
  <c r="D73" i="1"/>
  <c r="D112" i="1"/>
  <c r="D111" i="1"/>
  <c r="D106" i="1"/>
  <c r="D105" i="1"/>
  <c r="E62" i="1"/>
  <c r="E56" i="1"/>
  <c r="D58" i="1" s="1"/>
  <c r="G13" i="1"/>
  <c r="I74" i="1" s="1"/>
  <c r="E75" i="1"/>
  <c r="D76" i="1" s="1"/>
  <c r="E63" i="1"/>
  <c r="E55" i="1"/>
  <c r="E54" i="1"/>
  <c r="E50" i="1"/>
  <c r="E49" i="1"/>
  <c r="E43" i="1"/>
  <c r="E42" i="1"/>
  <c r="E38" i="1"/>
  <c r="E37" i="1"/>
  <c r="E33" i="1"/>
  <c r="E32" i="1"/>
  <c r="E28" i="1"/>
  <c r="E27" i="1"/>
  <c r="H74" i="1"/>
  <c r="D117" i="1"/>
  <c r="D119" i="1"/>
  <c r="H80" i="1"/>
  <c r="H73" i="1"/>
  <c r="D116" i="1"/>
  <c r="D51" i="1" l="1"/>
  <c r="D39" i="1"/>
  <c r="N46" i="1"/>
  <c r="T46" i="6"/>
  <c r="R63" i="6"/>
  <c r="S63" i="6"/>
  <c r="H39" i="1"/>
  <c r="E39" i="1"/>
  <c r="S17" i="5"/>
  <c r="I77" i="1"/>
  <c r="I68" i="1"/>
  <c r="N30" i="5"/>
  <c r="N40" i="5"/>
  <c r="G105" i="1"/>
  <c r="S18" i="5"/>
  <c r="S68" i="1"/>
  <c r="S61" i="1"/>
  <c r="D45" i="5"/>
  <c r="S19" i="5"/>
  <c r="N76" i="1"/>
  <c r="D34" i="1"/>
  <c r="D46" i="1"/>
  <c r="N29" i="1"/>
  <c r="N39" i="1"/>
  <c r="S77" i="1"/>
  <c r="S19" i="1"/>
  <c r="S20" i="1"/>
  <c r="D29" i="1"/>
  <c r="I73" i="1"/>
  <c r="N34" i="1"/>
  <c r="D59" i="1"/>
  <c r="E46" i="6"/>
  <c r="D54" i="6"/>
  <c r="N54" i="6"/>
  <c r="G93" i="6"/>
  <c r="S46" i="6"/>
  <c r="D93" i="6"/>
  <c r="H63" i="6"/>
  <c r="I25" i="5"/>
  <c r="I22" i="5"/>
  <c r="I19" i="5"/>
  <c r="I17" i="5"/>
  <c r="I23" i="5"/>
  <c r="D40" i="5"/>
  <c r="D50" i="5"/>
  <c r="I24" i="5"/>
  <c r="S67" i="5"/>
  <c r="S23" i="5"/>
  <c r="S25" i="5"/>
  <c r="S22" i="5"/>
  <c r="N35" i="5"/>
  <c r="N45" i="5"/>
  <c r="R45" i="5" s="1"/>
  <c r="D58" i="5"/>
  <c r="S24" i="5"/>
  <c r="I16" i="5"/>
  <c r="D62" i="5"/>
  <c r="N58" i="5"/>
  <c r="N62" i="5"/>
  <c r="O58" i="1"/>
  <c r="N64" i="1"/>
  <c r="N65" i="1" s="1"/>
  <c r="R65" i="1" s="1"/>
  <c r="N59" i="1"/>
  <c r="R59" i="1" s="1"/>
  <c r="I76" i="1"/>
  <c r="H76" i="1"/>
  <c r="D118" i="1" s="1"/>
  <c r="S74" i="1"/>
  <c r="S70" i="1"/>
  <c r="S22" i="1"/>
  <c r="S21" i="1"/>
  <c r="I19" i="1"/>
  <c r="I70" i="1"/>
  <c r="I17" i="1"/>
  <c r="I20" i="1"/>
  <c r="I18" i="1"/>
  <c r="I21" i="1"/>
  <c r="I23" i="1"/>
  <c r="N51" i="1"/>
  <c r="I22" i="1"/>
  <c r="I24" i="1"/>
  <c r="S71" i="5"/>
  <c r="I71" i="5"/>
  <c r="I67" i="5"/>
  <c r="I70" i="5"/>
  <c r="I65" i="5"/>
  <c r="S65" i="5"/>
  <c r="S70" i="5"/>
  <c r="I45" i="5"/>
  <c r="S35" i="5"/>
  <c r="I72" i="5"/>
  <c r="S50" i="5"/>
  <c r="S30" i="5"/>
  <c r="S72" i="5"/>
  <c r="S62" i="5"/>
  <c r="S40" i="5"/>
  <c r="T58" i="5"/>
  <c r="T34" i="1"/>
  <c r="I34" i="1"/>
  <c r="S17" i="1"/>
  <c r="S24" i="1"/>
  <c r="I51" i="1"/>
  <c r="S18" i="1"/>
  <c r="S73" i="1"/>
  <c r="S23" i="1"/>
  <c r="V63" i="6" l="1"/>
  <c r="T31" i="6"/>
  <c r="E29" i="1"/>
  <c r="H29" i="1"/>
  <c r="I29" i="1" s="1"/>
  <c r="R39" i="1"/>
  <c r="O39" i="1"/>
  <c r="J39" i="1"/>
  <c r="I39" i="1"/>
  <c r="S59" i="1"/>
  <c r="T59" i="1"/>
  <c r="T21" i="6"/>
  <c r="T60" i="6"/>
  <c r="T18" i="6"/>
  <c r="T61" i="6"/>
  <c r="T20" i="6"/>
  <c r="T17" i="6"/>
  <c r="S65" i="1"/>
  <c r="T65" i="1"/>
  <c r="S76" i="1"/>
  <c r="R76" i="1"/>
  <c r="G118" i="1" s="1"/>
  <c r="J21" i="6"/>
  <c r="J18" i="6"/>
  <c r="J20" i="6"/>
  <c r="J17" i="6"/>
  <c r="G109" i="5"/>
  <c r="R74" i="5"/>
  <c r="E50" i="5"/>
  <c r="H50" i="5"/>
  <c r="H74" i="5" s="1"/>
  <c r="O59" i="1"/>
  <c r="E59" i="1"/>
  <c r="H59" i="1"/>
  <c r="E58" i="1"/>
  <c r="D64" i="1"/>
  <c r="D65" i="1" s="1"/>
  <c r="I30" i="5"/>
  <c r="S45" i="5"/>
  <c r="S74" i="5" s="1"/>
  <c r="T45" i="5"/>
  <c r="S39" i="1" l="1"/>
  <c r="V65" i="1"/>
  <c r="J58" i="5"/>
  <c r="J62" i="5"/>
  <c r="D113" i="1"/>
  <c r="J59" i="1"/>
  <c r="H79" i="1"/>
  <c r="T71" i="5"/>
  <c r="T70" i="5"/>
  <c r="T63" i="6"/>
  <c r="D109" i="5"/>
  <c r="J50" i="5"/>
  <c r="R79" i="1"/>
  <c r="T51" i="1" s="1"/>
  <c r="S79" i="1"/>
  <c r="G113" i="1"/>
  <c r="T67" i="5"/>
  <c r="T72" i="5"/>
  <c r="T65" i="5"/>
  <c r="T50" i="5"/>
  <c r="I50" i="5"/>
  <c r="I74" i="5" s="1"/>
  <c r="J40" i="5"/>
  <c r="J45" i="5"/>
  <c r="J35" i="5"/>
  <c r="T23" i="5"/>
  <c r="T18" i="5"/>
  <c r="J21" i="5"/>
  <c r="T21" i="5"/>
  <c r="T25" i="5"/>
  <c r="T17" i="5"/>
  <c r="J23" i="5"/>
  <c r="J17" i="5"/>
  <c r="J30" i="5"/>
  <c r="J24" i="5"/>
  <c r="I59" i="1"/>
  <c r="E64" i="1"/>
  <c r="J68" i="1" l="1"/>
  <c r="J21" i="1"/>
  <c r="J17" i="1"/>
  <c r="J74" i="1"/>
  <c r="J18" i="1"/>
  <c r="J22" i="1"/>
  <c r="J77" i="1"/>
  <c r="J73" i="1"/>
  <c r="J19" i="1"/>
  <c r="J23" i="1"/>
  <c r="J76" i="1"/>
  <c r="J70" i="1"/>
  <c r="J20" i="1"/>
  <c r="J24" i="1"/>
  <c r="J29" i="1"/>
  <c r="T76" i="1"/>
  <c r="T68" i="1"/>
  <c r="T21" i="1"/>
  <c r="T17" i="1"/>
  <c r="T19" i="1"/>
  <c r="T70" i="1"/>
  <c r="T24" i="1"/>
  <c r="T74" i="1"/>
  <c r="T18" i="1"/>
  <c r="T22" i="1"/>
  <c r="T73" i="1"/>
  <c r="T23" i="1"/>
  <c r="T77" i="1"/>
  <c r="T20" i="1"/>
  <c r="T39" i="1"/>
  <c r="J16" i="5"/>
  <c r="J19" i="5"/>
  <c r="J25" i="5"/>
  <c r="T22" i="5"/>
  <c r="T24" i="5"/>
  <c r="J67" i="5"/>
  <c r="J70" i="5"/>
  <c r="J71" i="5"/>
  <c r="J72" i="5"/>
  <c r="J65" i="5"/>
  <c r="J18" i="5"/>
  <c r="J22" i="5"/>
  <c r="T16" i="5"/>
  <c r="T19" i="5"/>
  <c r="E65" i="1"/>
  <c r="J79" i="1" l="1"/>
  <c r="T74" i="5"/>
  <c r="J74" i="5"/>
  <c r="I65" i="1"/>
  <c r="I79" i="1" s="1"/>
  <c r="T79" i="1" l="1"/>
</calcChain>
</file>

<file path=xl/comments1.xml><?xml version="1.0" encoding="utf-8"?>
<comments xmlns="http://schemas.openxmlformats.org/spreadsheetml/2006/main">
  <authors>
    <author xml:space="preserve"> </author>
    <author>Rosie</author>
  </authors>
  <commentList>
    <comment ref="H15" authorId="0" shapeId="0">
      <text>
        <r>
          <rPr>
            <b/>
            <sz val="11"/>
            <color indexed="81"/>
            <rFont val="Tahoma"/>
            <family val="2"/>
          </rPr>
          <t>Coût total en fonction de la base de comparaison</t>
        </r>
      </text>
    </comment>
    <comment ref="R15" authorId="0" shapeId="0">
      <text>
        <r>
          <rPr>
            <b/>
            <sz val="11"/>
            <color indexed="81"/>
            <rFont val="Tahoma"/>
            <family val="2"/>
          </rPr>
          <t>Coût total en fonction de la base de comparaison</t>
        </r>
      </text>
    </comment>
    <comment ref="C71" authorId="0" shapeId="0">
      <text>
        <r>
          <rPr>
            <sz val="11"/>
            <color indexed="81"/>
            <rFont val="Tahoma"/>
            <family val="2"/>
          </rPr>
          <t>Durée en heure des pertes de productivités par année causées par une maintenance, une réparation ou lorsque brisée.</t>
        </r>
      </text>
    </comment>
    <comment ref="M71" authorId="0" shapeId="0">
      <text>
        <r>
          <rPr>
            <sz val="11"/>
            <color indexed="81"/>
            <rFont val="Tahoma"/>
            <family val="2"/>
          </rPr>
          <t>Durée en heure des pertes de productivités par année causées par une maintenance, une réparation ou lorsque brisée.</t>
        </r>
      </text>
    </comment>
    <comment ref="C72" authorId="0" shapeId="0">
      <text>
        <r>
          <rPr>
            <sz val="11"/>
            <color indexed="81"/>
            <rFont val="Tahoma"/>
            <family val="2"/>
          </rPr>
          <t>Représente le coût pour l'entreprise d'avoir une voiture corporative non fonctionelle (non disponible) (salaire de l'employé, coût du transport alternatif, etc.)</t>
        </r>
      </text>
    </comment>
    <comment ref="M72" authorId="0" shapeId="0">
      <text>
        <r>
          <rPr>
            <sz val="11"/>
            <color indexed="81"/>
            <rFont val="Tahoma"/>
            <family val="2"/>
          </rPr>
          <t>Représente le coût pour l'entreprise d'avoir une voiture corporative non fonctionelle (non disponible) (salaire de l'employé, coût du transport alternatif, etc.)</t>
        </r>
      </text>
    </comment>
    <comment ref="C73" authorId="0" shapeId="0">
      <text>
        <r>
          <rPr>
            <sz val="11"/>
            <color indexed="81"/>
            <rFont val="Tahoma"/>
            <family val="2"/>
          </rPr>
          <t>Coût associé au non-fonctionnement de la voiture (durant une maintenance, une réparation ou lorsque brisée)</t>
        </r>
      </text>
    </comment>
    <comment ref="M73" authorId="0" shapeId="0">
      <text>
        <r>
          <rPr>
            <sz val="11"/>
            <color indexed="81"/>
            <rFont val="Tahoma"/>
            <family val="2"/>
          </rPr>
          <t>Coût associé au non-fonctionnement de la voiture (durant une maintenance, une réparation ou lorsque brisée)</t>
        </r>
      </text>
    </comment>
    <comment ref="W73" authorId="0" shapeId="0">
      <text>
        <r>
          <rPr>
            <sz val="11"/>
            <color indexed="81"/>
            <rFont val="Tahoma"/>
            <family val="2"/>
          </rPr>
          <t>Coût associé au non-fonctionnement de la voiture (durant une maintenance, une réparation ou lorsque brisée)</t>
        </r>
      </text>
    </comment>
    <comment ref="C75" authorId="1" shapeId="0">
      <text>
        <r>
          <rPr>
            <sz val="11"/>
            <color indexed="81"/>
            <rFont val="Tahoma"/>
            <family val="2"/>
          </rPr>
          <t>Une estimation de la valeur de reprise ou de revent peut être obtenu en consulant les annonces classées</t>
        </r>
      </text>
    </comment>
    <comment ref="M75" authorId="1" shapeId="0">
      <text>
        <r>
          <rPr>
            <sz val="11"/>
            <color indexed="81"/>
            <rFont val="Tahoma"/>
            <family val="2"/>
          </rPr>
          <t>Une estimation de la valeur de reprise ou de revent peut être obtenu en consulant les annonces classées</t>
        </r>
      </text>
    </comment>
    <comment ref="C77" authorId="0" shapeId="0">
      <text>
        <r>
          <rPr>
            <sz val="11"/>
            <color indexed="81"/>
            <rFont val="Tahoma"/>
            <family val="2"/>
          </rPr>
          <t>Redevances liées à la fin de vie (gestion de fin de vie, mise à la feraille, valorisation, ou autre)</t>
        </r>
      </text>
    </comment>
    <comment ref="M77" authorId="0" shapeId="0">
      <text>
        <r>
          <rPr>
            <sz val="11"/>
            <color indexed="81"/>
            <rFont val="Tahoma"/>
            <family val="2"/>
          </rPr>
          <t>Redevances liées à la fin de vie (gestion de fin de vie, mise à la feraille, valorisation, ou autre)</t>
        </r>
      </text>
    </comment>
    <comment ref="C113" authorId="0" shapeId="0">
      <text>
        <r>
          <rPr>
            <sz val="11"/>
            <color indexed="81"/>
            <rFont val="Tahoma"/>
            <family val="2"/>
          </rPr>
          <t>La consommation énergétique est déterminée par le type d'écran, sélectionné en D12.</t>
        </r>
      </text>
    </comment>
    <comment ref="C116" authorId="0" shapeId="0">
      <text>
        <r>
          <rPr>
            <sz val="11"/>
            <color indexed="81"/>
            <rFont val="Tahoma"/>
            <family val="2"/>
          </rPr>
          <t>Coût associé au non-fonctionnement de la voiture (durant une maintenance, une réparation ou lorsque brisée)</t>
        </r>
      </text>
    </comment>
    <comment ref="C119" authorId="0" shapeId="0">
      <text>
        <r>
          <rPr>
            <sz val="11"/>
            <color indexed="81"/>
            <rFont val="Tahoma"/>
            <family val="2"/>
          </rPr>
          <t>Redevances liées à la fin de vie (gestion de fin de vie, mise à la feraille, valorisation, ou autre)</t>
        </r>
      </text>
    </comment>
    <comment ref="H157" authorId="0" shapeId="0">
      <text>
        <r>
          <rPr>
            <sz val="11"/>
            <color indexed="81"/>
            <rFont val="Tahoma"/>
            <family val="2"/>
          </rPr>
          <t>Durée en heure des pertes de productivités par année causées par une maintenance, une réparation ou lorsque brisée.</t>
        </r>
      </text>
    </comment>
    <comment ref="H158" authorId="0" shapeId="0">
      <text>
        <r>
          <rPr>
            <sz val="11"/>
            <color indexed="81"/>
            <rFont val="Tahoma"/>
            <family val="2"/>
          </rPr>
          <t>Représente le coût pour l'entreprise d'avoir une voiture corporative non fonctionelle (non disponible) (salaire de l'employé, coût du transport alternatif, etc.)</t>
        </r>
      </text>
    </comment>
    <comment ref="H159" authorId="0" shapeId="0">
      <text>
        <r>
          <rPr>
            <sz val="11"/>
            <color indexed="81"/>
            <rFont val="Tahoma"/>
            <family val="2"/>
          </rPr>
          <t>Coût associé au non-fonctionnement de la voiture (durant une maintenance, une réparation ou lorsque brisée)</t>
        </r>
      </text>
    </comment>
    <comment ref="H161" authorId="1" shapeId="0">
      <text>
        <r>
          <rPr>
            <sz val="11"/>
            <color indexed="81"/>
            <rFont val="Tahoma"/>
            <family val="2"/>
          </rPr>
          <t>Une estimation de la valeur de reprise ou de revent peut être obtenu en consulant les annonces classées</t>
        </r>
      </text>
    </comment>
    <comment ref="H163" authorId="0" shapeId="0">
      <text>
        <r>
          <rPr>
            <sz val="11"/>
            <color indexed="81"/>
            <rFont val="Tahoma"/>
            <family val="2"/>
          </rPr>
          <t>Redevances liées à la fin de vie (gestion de fin de vie, mise à la feraille, valorisation, ou autre)</t>
        </r>
      </text>
    </comment>
  </commentList>
</comments>
</file>

<file path=xl/comments2.xml><?xml version="1.0" encoding="utf-8"?>
<comments xmlns="http://schemas.openxmlformats.org/spreadsheetml/2006/main">
  <authors>
    <author xml:space="preserve"> </author>
  </authors>
  <commentList>
    <comment ref="H14" authorId="0" shapeId="0">
      <text>
        <r>
          <rPr>
            <b/>
            <sz val="11"/>
            <color indexed="81"/>
            <rFont val="Tahoma"/>
            <family val="2"/>
          </rPr>
          <t>Coût total en fonction de la base de comparaison</t>
        </r>
      </text>
    </comment>
    <comment ref="R14" authorId="0" shapeId="0">
      <text>
        <r>
          <rPr>
            <b/>
            <sz val="11"/>
            <color indexed="81"/>
            <rFont val="Tahoma"/>
            <family val="2"/>
          </rPr>
          <t>Coût total en fonction de la base de comparaison</t>
        </r>
      </text>
    </comment>
    <comment ref="C68" authorId="0" shapeId="0">
      <text>
        <r>
          <rPr>
            <sz val="11"/>
            <color indexed="81"/>
            <rFont val="Tahoma"/>
            <family val="2"/>
          </rPr>
          <t>Durée en heure des pertes de productivités par année causées par une maintenance, une réparation ou lorsque brisée.</t>
        </r>
      </text>
    </comment>
    <comment ref="M68" authorId="0" shapeId="0">
      <text>
        <r>
          <rPr>
            <sz val="11"/>
            <color indexed="81"/>
            <rFont val="Tahoma"/>
            <family val="2"/>
          </rPr>
          <t>Durée en heure des pertes de productivités par année causées par une maintenance, une réparation ou lorsque brisée.</t>
        </r>
      </text>
    </comment>
    <comment ref="C69" authorId="0" shapeId="0">
      <text>
        <r>
          <rPr>
            <sz val="11"/>
            <color indexed="81"/>
            <rFont val="Tahoma"/>
            <family val="2"/>
          </rPr>
          <t>Représente le coût pour l'entreprise d'avoir une voiture corporative non fonctionelle (non disponible) (salaire de l'employé, coût du transport alternatif, etc.)</t>
        </r>
      </text>
    </comment>
    <comment ref="M69" authorId="0" shapeId="0">
      <text>
        <r>
          <rPr>
            <sz val="11"/>
            <color indexed="81"/>
            <rFont val="Tahoma"/>
            <family val="2"/>
          </rPr>
          <t>Représente le coût pour l'entreprise d'avoir une voiture corporative non fonctionelle (non disponible) (salaire de l'employé, coût du transport alternatif, etc.)</t>
        </r>
      </text>
    </comment>
    <comment ref="C70" authorId="0" shapeId="0">
      <text>
        <r>
          <rPr>
            <sz val="11"/>
            <color indexed="81"/>
            <rFont val="Tahoma"/>
            <family val="2"/>
          </rPr>
          <t>Coût associé au non-fonctionnement de la voiture (durant une maintenance, une réparation ou lorsque brisée)</t>
        </r>
      </text>
    </comment>
    <comment ref="M70" authorId="0" shapeId="0">
      <text>
        <r>
          <rPr>
            <sz val="11"/>
            <color indexed="81"/>
            <rFont val="Tahoma"/>
            <family val="2"/>
          </rPr>
          <t>Coût associé au non-fonctionnement de la voiture (durant une maintenance, une réparation ou lorsque brisée)</t>
        </r>
      </text>
    </comment>
    <comment ref="W70" authorId="0" shapeId="0">
      <text>
        <r>
          <rPr>
            <sz val="11"/>
            <color indexed="81"/>
            <rFont val="Tahoma"/>
            <family val="2"/>
          </rPr>
          <t>Coût associé au non-fonctionnement de la voiture (durant une maintenance, une réparation ou lorsque brisée)</t>
        </r>
      </text>
    </comment>
    <comment ref="C109" authorId="0" shapeId="0">
      <text>
        <r>
          <rPr>
            <sz val="11"/>
            <color indexed="81"/>
            <rFont val="Tahoma"/>
            <family val="2"/>
          </rPr>
          <t>La consommation énergétique est déterminée par le type d'écran, sélectionné en D12.</t>
        </r>
      </text>
    </comment>
    <comment ref="C112" authorId="0" shapeId="0">
      <text>
        <r>
          <rPr>
            <sz val="11"/>
            <color indexed="81"/>
            <rFont val="Tahoma"/>
            <family val="2"/>
          </rPr>
          <t>Coût associé au non-fonctionnement de la voiture (durant une maintenance, une réparation ou lorsque brisée)</t>
        </r>
      </text>
    </comment>
  </commentList>
</comments>
</file>

<file path=xl/comments3.xml><?xml version="1.0" encoding="utf-8"?>
<comments xmlns="http://schemas.openxmlformats.org/spreadsheetml/2006/main">
  <authors>
    <author xml:space="preserve"> </author>
  </authors>
  <commentList>
    <comment ref="H15" authorId="0" shapeId="0">
      <text>
        <r>
          <rPr>
            <b/>
            <sz val="11"/>
            <color indexed="81"/>
            <rFont val="Tahoma"/>
            <family val="2"/>
          </rPr>
          <t>Coût total en fonction de la base de comparaison</t>
        </r>
      </text>
    </comment>
    <comment ref="R15" authorId="0" shapeId="0">
      <text>
        <r>
          <rPr>
            <b/>
            <sz val="11"/>
            <color indexed="81"/>
            <rFont val="Tahoma"/>
            <family val="2"/>
          </rPr>
          <t>Coût total en fonction de la base de comparaison</t>
        </r>
      </text>
    </comment>
    <comment ref="C93" authorId="0" shapeId="0">
      <text>
        <r>
          <rPr>
            <sz val="11"/>
            <color indexed="81"/>
            <rFont val="Tahoma"/>
            <family val="2"/>
          </rPr>
          <t>La consommation énergétique est déterminée par le type d'écran, sélectionné en D12.</t>
        </r>
      </text>
    </comment>
  </commentList>
</comments>
</file>

<file path=xl/sharedStrings.xml><?xml version="1.0" encoding="utf-8"?>
<sst xmlns="http://schemas.openxmlformats.org/spreadsheetml/2006/main" count="736" uniqueCount="154">
  <si>
    <t>Résultats</t>
  </si>
  <si>
    <t>Produit</t>
  </si>
  <si>
    <t>Base de comparaison (unité fonctionnelle)</t>
  </si>
  <si>
    <t>Légende</t>
  </si>
  <si>
    <t>Champ à compléter</t>
  </si>
  <si>
    <t>Champ calculé</t>
  </si>
  <si>
    <t>Étape du cycle de vie</t>
  </si>
  <si>
    <t>Coût d'acquisition</t>
  </si>
  <si>
    <t>Utilisation</t>
  </si>
  <si>
    <t>Consommation énergétique</t>
  </si>
  <si>
    <t>Coûts de perte de productivités (downtime)</t>
  </si>
  <si>
    <t>Fin de vie</t>
  </si>
  <si>
    <t>Quantité:</t>
  </si>
  <si>
    <t>Spécifications</t>
  </si>
  <si>
    <t>Coûts totaux de propriétés</t>
  </si>
  <si>
    <t>% du coût total</t>
  </si>
  <si>
    <t>A</t>
  </si>
  <si>
    <t>B</t>
  </si>
  <si>
    <t>maintenance/ année</t>
  </si>
  <si>
    <t>Coût d'une perte de productivité par heure</t>
  </si>
  <si>
    <t>$/heure</t>
  </si>
  <si>
    <t>Coût d'une maintenance</t>
  </si>
  <si>
    <t>Durée des pertes de productivités par année</t>
  </si>
  <si>
    <t>heures</t>
  </si>
  <si>
    <t>© ECPAR 2013</t>
  </si>
  <si>
    <t>Acquisition / Fabrication</t>
  </si>
  <si>
    <t>Un deuxième tableau est disponible afin de faire des comparaisons.</t>
  </si>
  <si>
    <t>Les cases bleues sont à compléter tandis que les cases rose-orange affichent des informations et ne sont pas modifiables.</t>
  </si>
  <si>
    <t>Remplir les différentes informations du tableau.  Des commentaires sont disponibles afin d'expliquer la signification des entrées.</t>
  </si>
  <si>
    <t>Il est possible de déverrouiller les cellules (il n'y a pas de mot de passe).</t>
  </si>
  <si>
    <t>Cet outil permet de calculer les coûts totaux de propriété du produit, c’est-à-dire les coûts associés à l’ensemble de son cycle de vie. Il vise également à faciliter la comparaison entre les coûts totaux de propriété de différents produits qui remplissent une même fonction.</t>
  </si>
  <si>
    <t>Limites d'utilisation</t>
  </si>
  <si>
    <t>Ce calculateur a été élaboré à partir de données génériques disponibles publiquement. Il permet une analyse de coûts simplifiée. Cependant, il incombe à l'utilisateur de s'assurer que les données soient représentatives de son contexte d'utilisation spécifique.</t>
  </si>
  <si>
    <t>Contact</t>
  </si>
  <si>
    <t>Pour toutes questions sur ce calculateur, veuillez envoyer un courriel à l'adresse suivante :  info@ecpar.org</t>
  </si>
  <si>
    <t>Calculateur des coûts totaux de propriété - version 1.0 - Novembre 2013</t>
  </si>
  <si>
    <t>Voiture corporative</t>
  </si>
  <si>
    <t>km annuel estimé</t>
  </si>
  <si>
    <t>Voiture A</t>
  </si>
  <si>
    <t>Voiture B</t>
  </si>
  <si>
    <t>années</t>
  </si>
  <si>
    <t>Coût d'immatriculation</t>
  </si>
  <si>
    <t>Coût de l'assurance-automobile</t>
  </si>
  <si>
    <t>Frais d'adhésion à des associations automobile (par ex. CAA)</t>
  </si>
  <si>
    <t xml:space="preserve">Coût de la consommation </t>
  </si>
  <si>
    <t>Frais d'élimination/gestion de fin de vie</t>
  </si>
  <si>
    <t>litre/100 km</t>
  </si>
  <si>
    <t>http://publications.gc.ca/collections/collection_2013/rncan-nrcan/M141-5-2013-fra.pdf</t>
  </si>
  <si>
    <t>Source</t>
  </si>
  <si>
    <t>Coûts totaux de propriété</t>
  </si>
  <si>
    <t>Durée d'utilisation présumée de la voiture (en nombre d'années)</t>
  </si>
  <si>
    <t>Valeurs par défaut</t>
  </si>
  <si>
    <t>$ /litre </t>
  </si>
  <si>
    <t>Consommation de la voiture au 100 km</t>
  </si>
  <si>
    <t>$/km</t>
  </si>
  <si>
    <t>Kilométrage annual présumée pour l'utilisation de la voiture</t>
  </si>
  <si>
    <t>Coût total annuel / km</t>
  </si>
  <si>
    <t>Coût total annuel</t>
  </si>
  <si>
    <t>par km parcouru</t>
  </si>
  <si>
    <t>Valeur estimée de reprise</t>
  </si>
  <si>
    <t>Dépréciation</t>
  </si>
  <si>
    <t xml:space="preserve">Coûts divers (lave-auto, liquide pour lave-glace, etc) </t>
  </si>
  <si>
    <t>année d'utilisation pour le kilométrage estimé</t>
  </si>
  <si>
    <t>http://caa.ca/docs/fr/CAA_Driving_Costs_French.pdf</t>
  </si>
  <si>
    <t>Coûts du carburant au litre</t>
  </si>
  <si>
    <t>Type de voiture</t>
  </si>
  <si>
    <t>Paramètres</t>
  </si>
  <si>
    <t>Véhicule à essence</t>
  </si>
  <si>
    <t>Véhicule au biocarburant</t>
  </si>
  <si>
    <t>Véhicule hybride</t>
  </si>
  <si>
    <t>Véhicule électrique</t>
  </si>
  <si>
    <t>Véhicule hybride rechargeable</t>
  </si>
  <si>
    <t>Type de voiture (sélectionner dans le menu suivant:)</t>
  </si>
  <si>
    <t>$/kWh</t>
  </si>
  <si>
    <t>Coût de la consommation de carburant</t>
  </si>
  <si>
    <t>kwh/100 km</t>
  </si>
  <si>
    <t>-- Voiture hybride rechargeable</t>
  </si>
  <si>
    <t>-- Voiture hybride</t>
  </si>
  <si>
    <t>-- Voiture électrique</t>
  </si>
  <si>
    <t>Consommation électrique au 100 km</t>
  </si>
  <si>
    <t>Consommationde carburant au 100 km</t>
  </si>
  <si>
    <t>Consommation de carburant au 100 km</t>
  </si>
  <si>
    <t>-- Voiture à l'essence</t>
  </si>
  <si>
    <t>-- Voiture au diesel</t>
  </si>
  <si>
    <t>-- Voiture au biocarburant</t>
  </si>
  <si>
    <t>$/litre</t>
  </si>
  <si>
    <t>Spécifier le type de voiture. Insérer en G12</t>
  </si>
  <si>
    <t>Un graphique présente de manière visuelle les coûts annualisés des voitures corporatives</t>
  </si>
  <si>
    <t>Indications sur l'utilisation du calculateur de coût d'une voiture corporative</t>
  </si>
  <si>
    <t>Coût de la consommation électrique de la voiture</t>
  </si>
  <si>
    <t>Guide de consommation de carburant de Ressources Naturelles du Canada (2013)</t>
  </si>
  <si>
    <t>Coûts d’utilisation d’une automobile: Guide de la CAA (2013)</t>
  </si>
  <si>
    <t>Hypothèses pour le calcul</t>
  </si>
  <si>
    <t>- Les estimations de la consommation annuelle de carburant et de son coût telles qu'elles sont fournies dans le Guide de consommation de carburant de Ressources Naturelles du Canada (2013) sont fondées sur une distance de parcours de 20 000 km, répartie comme suit : 55 p. 100 en ville et 45 p. 100 sur la route.</t>
  </si>
  <si>
    <t xml:space="preserve">- Les prix de carburant sont basées sur les informations fournies par le Guide de consommation de carburant de Ressources Naturelles du Canada (2013). 
Il convient de les ajuster en fonction du prix pour l'année en cours d'évaluation </t>
  </si>
  <si>
    <t>Coûts de la recharge électrique au kwh</t>
  </si>
  <si>
    <t>Coûts de la recharge électrique  au kwh</t>
  </si>
  <si>
    <t xml:space="preserve">Autonomie en mode électrique </t>
  </si>
  <si>
    <t>km</t>
  </si>
  <si>
    <t>Taxes</t>
  </si>
  <si>
    <t>Taux d'utilisation en mode électrique</t>
  </si>
  <si>
    <t>%</t>
  </si>
  <si>
    <t>Taux d'utilisation en mode essence</t>
  </si>
  <si>
    <t>Frais d'adhésion à des associations automobile</t>
  </si>
  <si>
    <t xml:space="preserve">Coûts divers </t>
  </si>
  <si>
    <t>Coût de location</t>
  </si>
  <si>
    <t>Coût du kilométrage additionnel</t>
  </si>
  <si>
    <t>$/km additionnel</t>
  </si>
  <si>
    <t>Coûts divers</t>
  </si>
  <si>
    <t>Kilométrage additionnel estimé</t>
  </si>
  <si>
    <t>En fonction du type de voiture choisi à l'étape 4, remplir le tableau correspondant en spécifiant la consommation de carburant au 100 km et le prix du carburant estimé pour l'année d'utilisation du véhicule et pour le lieu d'utilisation (Québec, partout au Canada, etc.).</t>
  </si>
  <si>
    <t>Coût d'acquisition (incluant les frais de crédit ou de financement)</t>
  </si>
  <si>
    <t>Coût de la plaque</t>
  </si>
  <si>
    <t>Coût de la plaque ou autres frais payés la première année</t>
  </si>
  <si>
    <t>Coût de la plaque ou autre frais payés la première année</t>
  </si>
  <si>
    <t>réparation/ année</t>
  </si>
  <si>
    <t>Coût de réparation</t>
  </si>
  <si>
    <t>Coût de maintenance</t>
  </si>
  <si>
    <t>Véhicule au diesel</t>
  </si>
  <si>
    <t>Frais de reprise</t>
  </si>
  <si>
    <t>Coût de location annuelle</t>
  </si>
  <si>
    <t>$/an</t>
  </si>
  <si>
    <t>Transport</t>
  </si>
  <si>
    <t>Frais de transport et préparation</t>
  </si>
  <si>
    <t>Distance moyenne estimée à parcourir entre les charges</t>
  </si>
  <si>
    <t xml:space="preserve">km/jour </t>
  </si>
  <si>
    <t>km/jour</t>
  </si>
  <si>
    <t>Coûts divers annuels</t>
  </si>
  <si>
    <t>Coûts divers annuels (lave-auto, liquide pour lave-glace, système de naviguation, accessoires, etc.)</t>
  </si>
  <si>
    <t>Pour la voiture corporative, la base de comparaison est: un kilométrage estimé</t>
  </si>
  <si>
    <t xml:space="preserve">Sélectionner l'onglet correspondant à l'achat d'une voiture ou celui correspondant à la location long terme ou court-terme d'une voiture . </t>
  </si>
  <si>
    <t>km estimé pour l'utilisation</t>
  </si>
  <si>
    <t>Coût total/km</t>
  </si>
  <si>
    <t>km estimé d'utilisation</t>
  </si>
  <si>
    <t>Coût total d'utilisation</t>
  </si>
  <si>
    <t>Coût total d'utilisation pour la période d'utilisation</t>
  </si>
  <si>
    <t>Coût de location pour la période d'utilisation (journalière, hebdomadaire ou mensuelle)</t>
  </si>
  <si>
    <t>Coûts divers pour la période d'utilisation (lave-auto, liquide pour lave-glace, système de naviguation, accessoires, etc.)</t>
  </si>
  <si>
    <t>Coûts d'installation de la borne de recharge</t>
  </si>
  <si>
    <t>$/installation</t>
  </si>
  <si>
    <t>Nombre estimé de voitures utilisant la borne</t>
  </si>
  <si>
    <t>Valeur résiduelle</t>
  </si>
  <si>
    <t>Pénalité de retard</t>
  </si>
  <si>
    <r>
      <t>Taxes</t>
    </r>
    <r>
      <rPr>
        <sz val="11"/>
        <color theme="1"/>
        <rFont val="Calibri"/>
        <family val="2"/>
        <scheme val="minor"/>
      </rPr>
      <t xml:space="preserve"> sur les pneus et la climatisation (si applicable)</t>
    </r>
  </si>
  <si>
    <r>
      <t xml:space="preserve">Fréquence </t>
    </r>
    <r>
      <rPr>
        <sz val="11"/>
        <color theme="1"/>
        <rFont val="Calibri"/>
        <family val="2"/>
        <scheme val="minor"/>
      </rPr>
      <t>des entretiens réguliers (changements d’huile, pneu, filtre à air, antirouille, etc.) par année</t>
    </r>
  </si>
  <si>
    <r>
      <t xml:space="preserve">Coût </t>
    </r>
    <r>
      <rPr>
        <sz val="11"/>
        <color theme="1"/>
        <rFont val="Calibri"/>
        <family val="2"/>
        <scheme val="minor"/>
      </rPr>
      <t xml:space="preserve">moyen d'un entretien régulier (changements d’huile, pneu, filtre à air, antirouille, etc.) </t>
    </r>
  </si>
  <si>
    <r>
      <t xml:space="preserve">Fréquence </t>
    </r>
    <r>
      <rPr>
        <sz val="11"/>
        <color theme="1"/>
        <rFont val="Calibri"/>
        <family val="2"/>
        <scheme val="minor"/>
      </rPr>
      <t>moyenne des réparations par année</t>
    </r>
  </si>
  <si>
    <r>
      <t xml:space="preserve">Coût </t>
    </r>
    <r>
      <rPr>
        <sz val="11"/>
        <color theme="1"/>
        <rFont val="Calibri"/>
        <family val="2"/>
        <scheme val="minor"/>
      </rPr>
      <t>moyen d'une réparation</t>
    </r>
  </si>
  <si>
    <r>
      <t>Taxes</t>
    </r>
    <r>
      <rPr>
        <sz val="11"/>
        <color theme="1"/>
        <rFont val="Calibri"/>
        <family val="2"/>
        <scheme val="minor"/>
      </rPr>
      <t xml:space="preserve"> sur les pneus et la climatisation</t>
    </r>
  </si>
  <si>
    <t>Fréquence des entretiens réguliers (changements d’huile, pneu, filtre à air, antirouille, etc.) par année</t>
  </si>
  <si>
    <t>Coût de l'assurance</t>
  </si>
  <si>
    <t>Pour l'achat d'une voiture, déterminer approximativement la durée d'utilisation présumée de la voiture.  Insérer en G14</t>
  </si>
  <si>
    <t>Différence A - B</t>
  </si>
  <si>
    <t>Coût de la consommation de la voiture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</si>
</sst>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0.000"/>
    <numFmt numFmtId="165" formatCode="_-&quot;$&quot;* #,##0.000_-;\-&quot;$&quot;* #,##0.000_-;_-&quot;$&quot;* &quot;-&quot;??_-;_-@_-"/>
    <numFmt numFmtId="166" formatCode="_-&quot;$&quot;* #,##0.0_-;\-&quot;$&quot;* #,##0.0_-;_-&quot;$&quot;* &quot;-&quot;??_-;_-@_-"/>
    <numFmt numFmtId="167" formatCode="_-&quot;$&quot;* #,##0.0000_-;\-&quot;$&quot;* #,##0.0000_-;_-&quot;$&quot;* &quot;-&quot;??_-;_-@_-"/>
    <numFmt numFmtId="168" formatCode="_-&quot;$&quot;* #,##0.000_-;\-&quot;$&quot;* #,##0.000_-;_-&quot;$&quot;* &quot;-&quot;???_-;_-@_-"/>
    <numFmt numFmtId="169" formatCode="_-&quot;$&quot;* #,##0.0_-;\-&quot;$&quot;* #,##0.0_-;_-&quot;$&quot;* &quot;-&quot;?_-;_-@_-"/>
  </numFmts>
  <fonts count="9" x14ac:knownFonts="1">
    <font>
      <sz val="11"/>
      <color theme="1"/>
      <name val="Calibri"/>
      <family val="2"/>
      <scheme val="minor"/>
    </font>
    <font>
      <sz val="11"/>
      <color indexed="81"/>
      <name val="Tahoma"/>
      <family val="2"/>
    </font>
    <font>
      <b/>
      <sz val="11"/>
      <color indexed="81"/>
      <name val="Tahoma"/>
      <family val="2"/>
    </font>
    <font>
      <sz val="11"/>
      <color theme="1"/>
      <name val="Calibri"/>
      <family val="2"/>
      <scheme val="minor"/>
    </font>
    <font>
      <u/>
      <sz val="11"/>
      <color theme="10"/>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name val="Calibri"/>
      <family val="2"/>
      <scheme val="minor"/>
    </font>
  </fonts>
  <fills count="9">
    <fill>
      <patternFill patternType="none"/>
    </fill>
    <fill>
      <patternFill patternType="gray125"/>
    </fill>
    <fill>
      <patternFill patternType="solid">
        <fgColor theme="9"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bgColor indexed="64"/>
      </patternFill>
    </fill>
    <fill>
      <patternFill patternType="solid">
        <fgColor theme="0"/>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355">
    <xf numFmtId="0" fontId="0" fillId="0" borderId="0" xfId="0"/>
    <xf numFmtId="0" fontId="0" fillId="0" borderId="0" xfId="0" applyAlignment="1">
      <alignment horizontal="left"/>
    </xf>
    <xf numFmtId="0" fontId="0" fillId="2" borderId="1" xfId="0" applyFill="1" applyBorder="1" applyAlignment="1">
      <alignment horizontal="center" vertical="center"/>
    </xf>
    <xf numFmtId="0" fontId="0" fillId="0" borderId="0" xfId="0" applyAlignment="1">
      <alignment vertical="center" wrapText="1"/>
    </xf>
    <xf numFmtId="0" fontId="5" fillId="3" borderId="1" xfId="0" applyFont="1" applyFill="1" applyBorder="1" applyAlignment="1" applyProtection="1">
      <alignment horizontal="center"/>
      <protection locked="0"/>
    </xf>
    <xf numFmtId="44" fontId="0" fillId="2" borderId="2" xfId="0" applyNumberFormat="1" applyFill="1" applyBorder="1" applyProtection="1"/>
    <xf numFmtId="44" fontId="0" fillId="2" borderId="3" xfId="0" applyNumberFormat="1" applyFill="1" applyBorder="1" applyProtection="1"/>
    <xf numFmtId="0" fontId="0" fillId="3" borderId="4" xfId="0" applyFill="1" applyBorder="1" applyAlignment="1">
      <alignment horizontal="center" vertical="center"/>
    </xf>
    <xf numFmtId="0" fontId="0" fillId="0" borderId="5" xfId="0" applyBorder="1" applyProtection="1"/>
    <xf numFmtId="0" fontId="0" fillId="0" borderId="6" xfId="0" applyBorder="1" applyProtection="1"/>
    <xf numFmtId="0" fontId="0" fillId="0" borderId="6" xfId="0" applyFill="1" applyBorder="1" applyProtection="1"/>
    <xf numFmtId="0" fontId="0" fillId="0" borderId="0" xfId="0" applyProtection="1"/>
    <xf numFmtId="0" fontId="0" fillId="0" borderId="0" xfId="0" applyAlignment="1" applyProtection="1">
      <alignment horizontal="left"/>
    </xf>
    <xf numFmtId="0" fontId="0" fillId="4" borderId="7" xfId="0" applyFill="1" applyBorder="1" applyProtection="1"/>
    <xf numFmtId="0" fontId="0" fillId="4" borderId="8" xfId="0" applyFill="1" applyBorder="1" applyAlignment="1" applyProtection="1">
      <alignment horizontal="left"/>
    </xf>
    <xf numFmtId="0" fontId="0" fillId="4" borderId="8" xfId="0" applyFill="1" applyBorder="1" applyProtection="1"/>
    <xf numFmtId="0" fontId="0" fillId="0" borderId="0" xfId="0" applyAlignment="1" applyProtection="1">
      <alignment horizontal="right"/>
    </xf>
    <xf numFmtId="0" fontId="0" fillId="3" borderId="1" xfId="0" applyFill="1" applyBorder="1" applyAlignment="1" applyProtection="1">
      <alignment horizontal="left"/>
    </xf>
    <xf numFmtId="0" fontId="0" fillId="2" borderId="9" xfId="0" applyFill="1" applyBorder="1" applyAlignment="1" applyProtection="1">
      <alignment horizontal="left"/>
    </xf>
    <xf numFmtId="0" fontId="0" fillId="0" borderId="0" xfId="0" applyFill="1" applyBorder="1" applyProtection="1"/>
    <xf numFmtId="0" fontId="0" fillId="5" borderId="7" xfId="0" applyFill="1" applyBorder="1" applyProtection="1"/>
    <xf numFmtId="0" fontId="0" fillId="5" borderId="8" xfId="0" applyFill="1" applyBorder="1" applyAlignment="1" applyProtection="1">
      <alignment horizontal="left"/>
    </xf>
    <xf numFmtId="0" fontId="0" fillId="0" borderId="0" xfId="0" applyFill="1" applyBorder="1" applyAlignment="1" applyProtection="1">
      <alignment horizontal="center"/>
    </xf>
    <xf numFmtId="0" fontId="0" fillId="4" borderId="1" xfId="0" applyFill="1" applyBorder="1" applyAlignment="1" applyProtection="1">
      <alignment horizontal="center" wrapText="1"/>
    </xf>
    <xf numFmtId="0" fontId="0" fillId="6" borderId="10" xfId="0" applyFill="1" applyBorder="1" applyAlignment="1" applyProtection="1">
      <alignment horizontal="center"/>
    </xf>
    <xf numFmtId="0" fontId="0" fillId="6" borderId="11" xfId="0" applyFill="1" applyBorder="1" applyProtection="1"/>
    <xf numFmtId="0" fontId="0" fillId="0" borderId="10" xfId="0" applyBorder="1" applyAlignment="1" applyProtection="1">
      <alignment horizontal="center" vertical="center"/>
    </xf>
    <xf numFmtId="0" fontId="0" fillId="0" borderId="0" xfId="0" applyBorder="1" applyProtection="1"/>
    <xf numFmtId="164" fontId="0" fillId="0" borderId="0" xfId="0" applyNumberFormat="1" applyFill="1" applyBorder="1" applyAlignment="1" applyProtection="1">
      <alignment horizontal="center"/>
    </xf>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5" fillId="7" borderId="0" xfId="0" applyFont="1" applyFill="1" applyBorder="1" applyProtection="1"/>
    <xf numFmtId="0" fontId="0" fillId="7" borderId="0" xfId="0" applyFill="1" applyBorder="1" applyProtection="1"/>
    <xf numFmtId="0" fontId="0" fillId="6" borderId="7" xfId="0" applyFill="1" applyBorder="1" applyAlignment="1" applyProtection="1">
      <alignment horizontal="center" wrapText="1"/>
    </xf>
    <xf numFmtId="0" fontId="0" fillId="6" borderId="8" xfId="0" applyFill="1" applyBorder="1" applyAlignment="1" applyProtection="1">
      <alignment horizontal="center" wrapText="1"/>
    </xf>
    <xf numFmtId="0" fontId="0" fillId="4" borderId="1" xfId="0" applyFill="1" applyBorder="1" applyAlignment="1" applyProtection="1">
      <alignment horizontal="center" vertical="center" wrapText="1"/>
    </xf>
    <xf numFmtId="0" fontId="0" fillId="3" borderId="11"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164" fontId="0" fillId="2" borderId="1" xfId="0" applyNumberFormat="1" applyFill="1" applyBorder="1" applyAlignment="1" applyProtection="1">
      <alignment horizontal="center" vertical="center"/>
    </xf>
    <xf numFmtId="0" fontId="0" fillId="6" borderId="8" xfId="0" applyFill="1" applyBorder="1" applyAlignment="1" applyProtection="1">
      <alignment wrapText="1"/>
    </xf>
    <xf numFmtId="0" fontId="0" fillId="6" borderId="4" xfId="0" applyFill="1" applyBorder="1" applyAlignment="1" applyProtection="1">
      <alignment wrapText="1"/>
    </xf>
    <xf numFmtId="44" fontId="3" fillId="3" borderId="1" xfId="1" applyFont="1" applyFill="1" applyBorder="1" applyAlignment="1" applyProtection="1">
      <alignment horizontal="center" vertical="center"/>
      <protection locked="0"/>
    </xf>
    <xf numFmtId="44" fontId="3" fillId="3" borderId="1" xfId="1" applyFont="1" applyFill="1" applyBorder="1" applyProtection="1">
      <protection locked="0"/>
    </xf>
    <xf numFmtId="0" fontId="0" fillId="3" borderId="11" xfId="0" applyFill="1" applyBorder="1" applyProtection="1">
      <protection locked="0"/>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2" xfId="0" applyBorder="1" applyProtection="1"/>
    <xf numFmtId="44" fontId="0" fillId="2" borderId="3" xfId="0" applyNumberFormat="1" applyFill="1" applyBorder="1" applyAlignment="1" applyProtection="1">
      <alignment horizontal="center"/>
    </xf>
    <xf numFmtId="44" fontId="0" fillId="2" borderId="13" xfId="0" applyNumberFormat="1" applyFill="1" applyBorder="1" applyAlignment="1" applyProtection="1">
      <alignment horizontal="center"/>
    </xf>
    <xf numFmtId="44" fontId="0" fillId="0" borderId="0" xfId="0" applyNumberFormat="1" applyBorder="1" applyAlignment="1" applyProtection="1">
      <alignment horizontal="left"/>
    </xf>
    <xf numFmtId="44" fontId="0" fillId="0" borderId="14" xfId="0" applyNumberFormat="1" applyBorder="1" applyAlignment="1" applyProtection="1">
      <alignment horizontal="left"/>
    </xf>
    <xf numFmtId="0" fontId="0" fillId="0" borderId="15" xfId="0" applyBorder="1" applyProtection="1"/>
    <xf numFmtId="44" fontId="0" fillId="0" borderId="16" xfId="0" applyNumberFormat="1" applyBorder="1" applyAlignment="1" applyProtection="1">
      <alignment horizontal="left"/>
    </xf>
    <xf numFmtId="44" fontId="0" fillId="0" borderId="17" xfId="0" applyNumberFormat="1" applyBorder="1" applyAlignment="1" applyProtection="1">
      <alignment horizontal="left"/>
    </xf>
    <xf numFmtId="0" fontId="0" fillId="0" borderId="0" xfId="0" applyBorder="1" applyAlignment="1" applyProtection="1">
      <alignment horizontal="left"/>
    </xf>
    <xf numFmtId="0" fontId="0" fillId="0" borderId="18" xfId="0" applyBorder="1" applyAlignment="1" applyProtection="1">
      <alignment horizontal="center" vertical="center"/>
    </xf>
    <xf numFmtId="0" fontId="5" fillId="3" borderId="4" xfId="0" applyFont="1" applyFill="1" applyBorder="1" applyAlignment="1" applyProtection="1">
      <alignment horizontal="center"/>
      <protection locked="0"/>
    </xf>
    <xf numFmtId="165" fontId="0" fillId="2" borderId="3" xfId="0" applyNumberFormat="1" applyFill="1" applyBorder="1" applyAlignment="1" applyProtection="1">
      <alignment horizontal="center"/>
    </xf>
    <xf numFmtId="0" fontId="0" fillId="0" borderId="0" xfId="0" applyFill="1" applyBorder="1" applyAlignment="1">
      <alignment vertical="center" wrapText="1"/>
    </xf>
    <xf numFmtId="0" fontId="0" fillId="0" borderId="0" xfId="0" applyFill="1" applyBorder="1"/>
    <xf numFmtId="0" fontId="0" fillId="0" borderId="0" xfId="0" applyFill="1" applyBorder="1" applyAlignment="1">
      <alignment horizontal="left"/>
    </xf>
    <xf numFmtId="0" fontId="0" fillId="0" borderId="11" xfId="0" applyBorder="1" applyAlignment="1">
      <alignment horizontal="left" vertical="center" wrapText="1"/>
    </xf>
    <xf numFmtId="0" fontId="0" fillId="0" borderId="9" xfId="0" applyFill="1" applyBorder="1" applyAlignment="1">
      <alignment vertical="center" wrapText="1"/>
    </xf>
    <xf numFmtId="0" fontId="0" fillId="0" borderId="0" xfId="0" applyAlignment="1">
      <alignment wrapText="1"/>
    </xf>
    <xf numFmtId="0" fontId="5" fillId="0" borderId="0" xfId="0" applyFont="1"/>
    <xf numFmtId="0" fontId="0" fillId="6" borderId="8" xfId="0" applyFill="1" applyBorder="1" applyAlignment="1" applyProtection="1">
      <alignment horizontal="center"/>
    </xf>
    <xf numFmtId="0" fontId="0" fillId="0" borderId="0" xfId="0" applyAlignment="1">
      <alignment horizontal="left" vertical="center" wrapText="1"/>
    </xf>
    <xf numFmtId="0" fontId="0" fillId="6" borderId="8" xfId="0" applyFill="1" applyBorder="1" applyAlignment="1" applyProtection="1">
      <alignment horizontal="center"/>
    </xf>
    <xf numFmtId="1" fontId="0" fillId="2" borderId="1" xfId="0" applyNumberFormat="1" applyFill="1" applyBorder="1" applyAlignment="1" applyProtection="1">
      <alignment horizontal="center"/>
    </xf>
    <xf numFmtId="0" fontId="4" fillId="0" borderId="0" xfId="2"/>
    <xf numFmtId="44" fontId="3" fillId="3" borderId="12" xfId="1" applyFont="1" applyFill="1" applyBorder="1" applyAlignment="1" applyProtection="1">
      <alignment horizontal="center" vertical="center"/>
      <protection locked="0"/>
    </xf>
    <xf numFmtId="44" fontId="3" fillId="0" borderId="11" xfId="1" applyFont="1" applyFill="1" applyBorder="1" applyAlignment="1" applyProtection="1">
      <alignment horizontal="center" vertical="center"/>
      <protection locked="0"/>
    </xf>
    <xf numFmtId="44" fontId="3" fillId="0" borderId="12" xfId="1" applyFont="1"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44" fontId="3" fillId="0" borderId="12" xfId="1" applyFont="1" applyFill="1" applyBorder="1" applyProtection="1">
      <protection locked="0"/>
    </xf>
    <xf numFmtId="44" fontId="3" fillId="0" borderId="12" xfId="1" applyFont="1" applyFill="1" applyBorder="1" applyAlignment="1" applyProtection="1">
      <alignment horizontal="center" vertical="center"/>
    </xf>
    <xf numFmtId="0" fontId="0" fillId="4" borderId="11" xfId="0" applyFill="1" applyBorder="1" applyAlignment="1" applyProtection="1">
      <alignment horizontal="center" wrapText="1"/>
    </xf>
    <xf numFmtId="0" fontId="0" fillId="6" borderId="5" xfId="0" applyFill="1" applyBorder="1" applyAlignment="1" applyProtection="1">
      <alignment horizontal="center"/>
    </xf>
    <xf numFmtId="0" fontId="0" fillId="6" borderId="18" xfId="0" applyFill="1" applyBorder="1" applyAlignment="1" applyProtection="1">
      <alignment horizontal="center"/>
    </xf>
    <xf numFmtId="0" fontId="3" fillId="0" borderId="12" xfId="1"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xf>
    <xf numFmtId="0" fontId="0" fillId="6" borderId="10" xfId="0" applyFill="1" applyBorder="1" applyAlignment="1" applyProtection="1">
      <alignment horizontal="center" wrapText="1"/>
    </xf>
    <xf numFmtId="0" fontId="0" fillId="0" borderId="3" xfId="0" applyFill="1" applyBorder="1" applyAlignment="1" applyProtection="1">
      <alignment horizontal="center" vertical="center" wrapText="1"/>
    </xf>
    <xf numFmtId="0" fontId="0" fillId="0" borderId="3" xfId="0" applyBorder="1" applyAlignment="1" applyProtection="1">
      <alignment horizontal="center" vertical="center" wrapText="1"/>
    </xf>
    <xf numFmtId="9" fontId="3" fillId="0" borderId="0" xfId="3" applyFont="1" applyProtection="1"/>
    <xf numFmtId="0" fontId="0" fillId="5" borderId="8" xfId="0" applyFill="1" applyBorder="1" applyProtection="1"/>
    <xf numFmtId="0" fontId="0" fillId="0" borderId="12" xfId="0" applyBorder="1" applyAlignment="1" applyProtection="1">
      <alignment horizontal="center"/>
    </xf>
    <xf numFmtId="0" fontId="0" fillId="0" borderId="9" xfId="0" applyBorder="1" applyAlignment="1" applyProtection="1">
      <alignment horizontal="center" vertical="center"/>
    </xf>
    <xf numFmtId="3" fontId="0" fillId="2" borderId="1" xfId="0" applyNumberFormat="1" applyFill="1" applyBorder="1" applyAlignment="1" applyProtection="1">
      <alignment horizontal="center"/>
    </xf>
    <xf numFmtId="44" fontId="0" fillId="0" borderId="0" xfId="0" applyNumberFormat="1" applyFill="1" applyBorder="1" applyAlignment="1" applyProtection="1">
      <alignment horizontal="center"/>
    </xf>
    <xf numFmtId="0" fontId="0" fillId="0" borderId="6" xfId="0" applyBorder="1" applyAlignment="1" applyProtection="1">
      <alignment horizontal="center" vertical="center"/>
    </xf>
    <xf numFmtId="0" fontId="0" fillId="0" borderId="6" xfId="0" applyFont="1" applyBorder="1" applyAlignment="1" applyProtection="1">
      <alignment horizontal="center" vertical="center"/>
    </xf>
    <xf numFmtId="9" fontId="3" fillId="0" borderId="0" xfId="3" applyFont="1" applyFill="1" applyBorder="1" applyAlignment="1" applyProtection="1">
      <alignment horizontal="center"/>
    </xf>
    <xf numFmtId="164" fontId="0" fillId="0" borderId="14" xfId="0" applyNumberFormat="1" applyFill="1" applyBorder="1" applyAlignment="1" applyProtection="1">
      <alignment horizontal="center" vertical="center"/>
    </xf>
    <xf numFmtId="9" fontId="3" fillId="0" borderId="14" xfId="3" applyFont="1" applyFill="1" applyBorder="1" applyAlignment="1" applyProtection="1">
      <alignment horizontal="center"/>
    </xf>
    <xf numFmtId="0" fontId="0" fillId="0" borderId="15" xfId="0" applyFill="1" applyBorder="1" applyProtection="1"/>
    <xf numFmtId="164" fontId="0" fillId="0" borderId="9" xfId="0" applyNumberFormat="1" applyFill="1" applyBorder="1" applyAlignment="1" applyProtection="1">
      <alignment horizontal="center" vertical="center"/>
    </xf>
    <xf numFmtId="0" fontId="0" fillId="0" borderId="9" xfId="0" applyBorder="1" applyAlignment="1" applyProtection="1">
      <alignment horizontal="center"/>
    </xf>
    <xf numFmtId="165" fontId="0" fillId="2" borderId="19" xfId="0" applyNumberFormat="1" applyFill="1" applyBorder="1" applyAlignment="1" applyProtection="1">
      <alignment horizontal="center"/>
    </xf>
    <xf numFmtId="9" fontId="3" fillId="2" borderId="20" xfId="3" applyFont="1" applyFill="1" applyBorder="1" applyAlignment="1" applyProtection="1">
      <alignment horizontal="center"/>
    </xf>
    <xf numFmtId="164" fontId="0" fillId="2" borderId="9" xfId="0" applyNumberFormat="1"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0" fontId="0" fillId="0" borderId="6" xfId="0" applyFill="1" applyBorder="1" applyAlignment="1" applyProtection="1">
      <alignment horizontal="center"/>
    </xf>
    <xf numFmtId="165" fontId="0" fillId="0" borderId="0" xfId="0" applyNumberFormat="1" applyFill="1" applyBorder="1" applyAlignment="1" applyProtection="1">
      <alignment horizontal="center"/>
    </xf>
    <xf numFmtId="0" fontId="0" fillId="0" borderId="14" xfId="0" applyBorder="1" applyProtection="1"/>
    <xf numFmtId="0" fontId="6" fillId="8" borderId="5" xfId="0" quotePrefix="1" applyFont="1" applyFill="1" applyBorder="1" applyProtection="1"/>
    <xf numFmtId="0" fontId="0" fillId="8" borderId="8" xfId="0" applyFill="1" applyBorder="1" applyProtection="1"/>
    <xf numFmtId="0" fontId="3" fillId="8" borderId="10" xfId="1" applyNumberFormat="1" applyFont="1" applyFill="1" applyBorder="1" applyAlignment="1" applyProtection="1">
      <alignment horizontal="center" vertical="center"/>
      <protection locked="0"/>
    </xf>
    <xf numFmtId="0" fontId="0" fillId="8" borderId="5" xfId="0" applyFont="1" applyFill="1" applyBorder="1" applyAlignment="1" applyProtection="1">
      <alignment horizontal="center" vertical="center"/>
    </xf>
    <xf numFmtId="165" fontId="0" fillId="8" borderId="18" xfId="0" applyNumberFormat="1" applyFill="1" applyBorder="1" applyAlignment="1" applyProtection="1">
      <alignment horizontal="center"/>
    </xf>
    <xf numFmtId="9" fontId="3" fillId="8" borderId="10" xfId="3" applyFont="1" applyFill="1" applyBorder="1" applyAlignment="1" applyProtection="1">
      <alignment horizontal="center"/>
    </xf>
    <xf numFmtId="44" fontId="3" fillId="8" borderId="10" xfId="1" applyFont="1" applyFill="1" applyBorder="1" applyAlignment="1" applyProtection="1">
      <alignment horizontal="center" vertical="center"/>
      <protection locked="0"/>
    </xf>
    <xf numFmtId="0" fontId="0" fillId="8" borderId="5" xfId="0" applyFill="1" applyBorder="1" applyAlignment="1" applyProtection="1">
      <alignment horizontal="center" vertical="center"/>
    </xf>
    <xf numFmtId="0" fontId="3" fillId="0" borderId="0" xfId="3" applyNumberFormat="1" applyFont="1" applyProtection="1"/>
    <xf numFmtId="0" fontId="0" fillId="0" borderId="11" xfId="0" applyBorder="1" applyAlignment="1">
      <alignment horizontal="center" vertical="center"/>
    </xf>
    <xf numFmtId="9" fontId="3" fillId="2" borderId="21" xfId="3" applyFont="1" applyFill="1" applyBorder="1" applyAlignment="1" applyProtection="1">
      <alignment horizontal="center"/>
    </xf>
    <xf numFmtId="2" fontId="3" fillId="3" borderId="12" xfId="1" applyNumberFormat="1" applyFont="1" applyFill="1" applyBorder="1" applyAlignment="1" applyProtection="1">
      <alignment horizontal="center" vertical="center"/>
      <protection locked="0"/>
    </xf>
    <xf numFmtId="0" fontId="0" fillId="0" borderId="22" xfId="0" applyFill="1" applyBorder="1" applyProtection="1"/>
    <xf numFmtId="0" fontId="0" fillId="0" borderId="23" xfId="0" applyFill="1" applyBorder="1" applyProtection="1"/>
    <xf numFmtId="0" fontId="0" fillId="0" borderId="24" xfId="0" applyFill="1" applyBorder="1" applyProtection="1"/>
    <xf numFmtId="0" fontId="0" fillId="0" borderId="5" xfId="0" applyBorder="1" applyAlignment="1" applyProtection="1">
      <alignment horizontal="center" vertical="center"/>
    </xf>
    <xf numFmtId="9" fontId="3" fillId="0" borderId="10" xfId="3" applyFont="1" applyFill="1" applyBorder="1" applyAlignment="1" applyProtection="1">
      <alignment horizontal="center"/>
    </xf>
    <xf numFmtId="0" fontId="0" fillId="0" borderId="11" xfId="0" applyFill="1" applyBorder="1" applyAlignment="1" applyProtection="1">
      <alignment horizontal="center" vertical="center"/>
      <protection locked="0"/>
    </xf>
    <xf numFmtId="165" fontId="0" fillId="0" borderId="18" xfId="0" applyNumberFormat="1" applyFill="1" applyBorder="1" applyAlignment="1" applyProtection="1">
      <alignment horizontal="center"/>
    </xf>
    <xf numFmtId="9" fontId="3" fillId="0" borderId="25" xfId="3" applyFont="1" applyFill="1" applyBorder="1" applyAlignment="1" applyProtection="1">
      <alignment horizontal="center"/>
    </xf>
    <xf numFmtId="9" fontId="3" fillId="0" borderId="26" xfId="3" applyFont="1" applyFill="1" applyBorder="1" applyAlignment="1" applyProtection="1">
      <alignment horizontal="center"/>
    </xf>
    <xf numFmtId="9" fontId="3" fillId="0" borderId="27" xfId="3" applyFont="1" applyFill="1" applyBorder="1" applyAlignment="1" applyProtection="1">
      <alignment horizontal="center"/>
    </xf>
    <xf numFmtId="44" fontId="3" fillId="3" borderId="9" xfId="1" applyFont="1" applyFill="1" applyBorder="1" applyAlignment="1" applyProtection="1">
      <alignment horizontal="center" vertical="center"/>
      <protection locked="0"/>
    </xf>
    <xf numFmtId="44" fontId="3" fillId="0" borderId="9" xfId="1" applyFont="1" applyFill="1" applyBorder="1" applyAlignment="1" applyProtection="1">
      <alignment horizontal="center" vertical="center"/>
      <protection locked="0"/>
    </xf>
    <xf numFmtId="0" fontId="7" fillId="0" borderId="0" xfId="0" applyFont="1" applyAlignment="1">
      <alignment horizontal="left" vertical="center" wrapText="1" readingOrder="1"/>
    </xf>
    <xf numFmtId="0" fontId="4" fillId="0" borderId="0" xfId="2" applyAlignment="1">
      <alignment horizontal="left" vertical="center"/>
    </xf>
    <xf numFmtId="0" fontId="0" fillId="0" borderId="0" xfId="0" quotePrefix="1" applyAlignment="1"/>
    <xf numFmtId="44" fontId="0" fillId="0" borderId="12" xfId="0" applyNumberFormat="1" applyBorder="1" applyAlignment="1" applyProtection="1">
      <alignment horizontal="center" vertical="center"/>
    </xf>
    <xf numFmtId="2" fontId="3" fillId="0" borderId="0" xfId="3" applyNumberFormat="1" applyFont="1" applyProtection="1"/>
    <xf numFmtId="9" fontId="3" fillId="0" borderId="12" xfId="3" applyFont="1" applyFill="1" applyBorder="1" applyAlignment="1" applyProtection="1">
      <alignment horizontal="center" vertical="center"/>
      <protection locked="0"/>
    </xf>
    <xf numFmtId="9" fontId="3" fillId="2" borderId="28" xfId="3" applyFont="1" applyFill="1" applyBorder="1" applyAlignment="1" applyProtection="1">
      <alignment horizontal="center" vertical="center"/>
    </xf>
    <xf numFmtId="0" fontId="0" fillId="0" borderId="29" xfId="0" applyFill="1" applyBorder="1" applyProtection="1"/>
    <xf numFmtId="0" fontId="0" fillId="0" borderId="31" xfId="0" applyBorder="1" applyAlignment="1" applyProtection="1">
      <alignment horizontal="center"/>
    </xf>
    <xf numFmtId="165" fontId="0" fillId="2" borderId="32" xfId="0" applyNumberFormat="1" applyFill="1" applyBorder="1" applyAlignment="1" applyProtection="1">
      <alignment horizontal="center"/>
    </xf>
    <xf numFmtId="9" fontId="3" fillId="2" borderId="33" xfId="3" applyFont="1" applyFill="1" applyBorder="1" applyAlignment="1" applyProtection="1">
      <alignment horizontal="center"/>
    </xf>
    <xf numFmtId="0" fontId="0" fillId="0" borderId="16" xfId="0" applyBorder="1" applyAlignment="1" applyProtection="1">
      <alignment horizontal="left"/>
    </xf>
    <xf numFmtId="166" fontId="0" fillId="2" borderId="34" xfId="0" applyNumberFormat="1" applyFill="1" applyBorder="1" applyAlignment="1" applyProtection="1">
      <alignment horizontal="center"/>
    </xf>
    <xf numFmtId="166" fontId="0" fillId="0" borderId="0" xfId="0" applyNumberFormat="1" applyFill="1" applyBorder="1" applyAlignment="1" applyProtection="1">
      <alignment horizontal="center"/>
    </xf>
    <xf numFmtId="166" fontId="0" fillId="8" borderId="18" xfId="0" applyNumberFormat="1" applyFill="1" applyBorder="1" applyAlignment="1" applyProtection="1">
      <alignment horizontal="center"/>
    </xf>
    <xf numFmtId="166" fontId="0" fillId="2" borderId="35" xfId="0" applyNumberFormat="1" applyFill="1" applyBorder="1" applyAlignment="1" applyProtection="1">
      <alignment horizontal="center"/>
    </xf>
    <xf numFmtId="166" fontId="0" fillId="0" borderId="0" xfId="0" applyNumberFormat="1" applyBorder="1" applyProtection="1"/>
    <xf numFmtId="166" fontId="0" fillId="2" borderId="36" xfId="0" applyNumberFormat="1" applyFill="1" applyBorder="1" applyAlignment="1" applyProtection="1">
      <alignment horizontal="center"/>
    </xf>
    <xf numFmtId="166" fontId="0" fillId="2" borderId="37" xfId="0" applyNumberFormat="1" applyFill="1" applyBorder="1" applyAlignment="1" applyProtection="1">
      <alignment horizontal="center"/>
    </xf>
    <xf numFmtId="166" fontId="0" fillId="0" borderId="38" xfId="0" applyNumberFormat="1" applyFill="1" applyBorder="1" applyAlignment="1" applyProtection="1">
      <alignment horizontal="center"/>
    </xf>
    <xf numFmtId="166" fontId="0" fillId="2" borderId="34" xfId="0" applyNumberFormat="1" applyFill="1" applyBorder="1" applyProtection="1"/>
    <xf numFmtId="166" fontId="0" fillId="0" borderId="22" xfId="0" applyNumberFormat="1" applyFill="1" applyBorder="1" applyProtection="1"/>
    <xf numFmtId="166" fontId="0" fillId="0" borderId="23" xfId="0" applyNumberFormat="1" applyFill="1" applyBorder="1" applyProtection="1"/>
    <xf numFmtId="166" fontId="0" fillId="2" borderId="39" xfId="0" applyNumberFormat="1" applyFill="1" applyBorder="1" applyAlignment="1" applyProtection="1">
      <alignment horizontal="center"/>
    </xf>
    <xf numFmtId="166" fontId="0" fillId="0" borderId="24" xfId="0" applyNumberFormat="1" applyFill="1" applyBorder="1" applyProtection="1"/>
    <xf numFmtId="0" fontId="0" fillId="6" borderId="11" xfId="0" applyFill="1" applyBorder="1" applyAlignment="1" applyProtection="1">
      <alignment wrapText="1"/>
    </xf>
    <xf numFmtId="166" fontId="0" fillId="2" borderId="40" xfId="0" applyNumberFormat="1" applyFill="1" applyBorder="1" applyAlignment="1" applyProtection="1">
      <alignment horizontal="center"/>
    </xf>
    <xf numFmtId="165" fontId="0" fillId="2" borderId="2" xfId="0" applyNumberFormat="1" applyFill="1" applyBorder="1" applyAlignment="1" applyProtection="1">
      <alignment horizontal="center"/>
    </xf>
    <xf numFmtId="9" fontId="3" fillId="2" borderId="2" xfId="3" applyFont="1" applyFill="1" applyBorder="1" applyAlignment="1" applyProtection="1">
      <alignment horizontal="center"/>
    </xf>
    <xf numFmtId="0" fontId="0" fillId="6" borderId="11" xfId="0" applyFill="1" applyBorder="1" applyAlignment="1" applyProtection="1">
      <alignment horizontal="center"/>
    </xf>
    <xf numFmtId="0" fontId="0" fillId="6" borderId="15" xfId="0" applyFill="1" applyBorder="1" applyAlignment="1" applyProtection="1">
      <alignment horizontal="center"/>
    </xf>
    <xf numFmtId="0" fontId="0" fillId="6" borderId="16" xfId="0" applyFill="1" applyBorder="1" applyAlignment="1" applyProtection="1">
      <alignment horizontal="center"/>
    </xf>
    <xf numFmtId="0" fontId="0" fillId="6" borderId="17" xfId="0" applyFill="1" applyBorder="1" applyProtection="1"/>
    <xf numFmtId="0" fontId="0" fillId="6" borderId="11" xfId="0" applyFill="1" applyBorder="1" applyAlignment="1" applyProtection="1">
      <alignment horizontal="center" wrapText="1"/>
    </xf>
    <xf numFmtId="44" fontId="0" fillId="0" borderId="6" xfId="0" applyNumberFormat="1" applyBorder="1" applyAlignment="1" applyProtection="1">
      <alignment horizontal="center" vertical="center"/>
    </xf>
    <xf numFmtId="44" fontId="0" fillId="0" borderId="22" xfId="0" applyNumberFormat="1" applyFill="1" applyBorder="1" applyAlignment="1" applyProtection="1">
      <alignment horizontal="center"/>
    </xf>
    <xf numFmtId="166" fontId="0" fillId="0" borderId="24" xfId="0" applyNumberFormat="1" applyFill="1" applyBorder="1" applyAlignment="1" applyProtection="1">
      <alignment horizontal="center"/>
    </xf>
    <xf numFmtId="0" fontId="0" fillId="0" borderId="10" xfId="0" applyBorder="1" applyAlignment="1">
      <alignment horizontal="left" vertical="center" wrapText="1"/>
    </xf>
    <xf numFmtId="0" fontId="0" fillId="0" borderId="1" xfId="0" applyBorder="1" applyAlignment="1">
      <alignment horizontal="center" vertical="center"/>
    </xf>
    <xf numFmtId="0" fontId="0" fillId="0" borderId="11" xfId="0" applyFill="1" applyBorder="1" applyAlignment="1">
      <alignment vertical="center" wrapText="1"/>
    </xf>
    <xf numFmtId="0" fontId="0" fillId="0" borderId="9" xfId="0" applyBorder="1" applyAlignment="1">
      <alignment horizontal="left" vertical="center" wrapText="1"/>
    </xf>
    <xf numFmtId="0" fontId="0" fillId="0" borderId="1" xfId="0" applyFill="1" applyBorder="1" applyAlignment="1">
      <alignment vertical="center" wrapText="1"/>
    </xf>
    <xf numFmtId="0" fontId="0" fillId="6" borderId="8" xfId="0" applyFill="1" applyBorder="1" applyAlignment="1" applyProtection="1">
      <alignment horizontal="center"/>
    </xf>
    <xf numFmtId="44" fontId="3" fillId="3" borderId="9" xfId="1" applyFont="1" applyFill="1" applyBorder="1" applyProtection="1">
      <protection locked="0"/>
    </xf>
    <xf numFmtId="0" fontId="0" fillId="0" borderId="6" xfId="0" applyFill="1" applyBorder="1" applyAlignment="1" applyProtection="1">
      <alignment wrapText="1"/>
    </xf>
    <xf numFmtId="44" fontId="0" fillId="0" borderId="22" xfId="0" applyNumberFormat="1" applyFill="1" applyBorder="1" applyProtection="1"/>
    <xf numFmtId="0" fontId="0" fillId="0" borderId="6" xfId="0" applyBorder="1" applyAlignment="1" applyProtection="1">
      <alignment wrapText="1"/>
    </xf>
    <xf numFmtId="44" fontId="3" fillId="0" borderId="14" xfId="1" applyFont="1" applyFill="1" applyBorder="1" applyAlignment="1" applyProtection="1">
      <alignment horizontal="center" vertical="center"/>
      <protection locked="0"/>
    </xf>
    <xf numFmtId="0" fontId="0" fillId="0" borderId="7" xfId="0" applyBorder="1" applyProtection="1"/>
    <xf numFmtId="44" fontId="3" fillId="0" borderId="1" xfId="1" applyFont="1" applyFill="1" applyBorder="1" applyAlignment="1" applyProtection="1">
      <alignment horizontal="center" vertical="center"/>
      <protection locked="0"/>
    </xf>
    <xf numFmtId="0" fontId="0" fillId="0" borderId="1" xfId="0" applyBorder="1" applyAlignment="1" applyProtection="1">
      <alignment horizontal="center" vertical="center"/>
    </xf>
    <xf numFmtId="166" fontId="0" fillId="2" borderId="41" xfId="0" applyNumberFormat="1" applyFill="1" applyBorder="1" applyAlignment="1" applyProtection="1">
      <alignment horizontal="center"/>
    </xf>
    <xf numFmtId="165" fontId="0" fillId="2" borderId="42" xfId="0" applyNumberFormat="1" applyFill="1" applyBorder="1" applyAlignment="1" applyProtection="1">
      <alignment horizontal="center"/>
    </xf>
    <xf numFmtId="2" fontId="3" fillId="3" borderId="11" xfId="1" applyNumberFormat="1" applyFont="1" applyFill="1" applyBorder="1" applyAlignment="1" applyProtection="1">
      <alignment horizontal="center" vertical="center"/>
      <protection locked="0"/>
    </xf>
    <xf numFmtId="3" fontId="0" fillId="3" borderId="1" xfId="0" applyNumberFormat="1" applyFill="1" applyBorder="1" applyAlignment="1" applyProtection="1">
      <alignment horizontal="center"/>
    </xf>
    <xf numFmtId="1" fontId="3" fillId="0" borderId="12" xfId="3" applyNumberFormat="1" applyFont="1" applyFill="1" applyBorder="1" applyAlignment="1" applyProtection="1">
      <alignment horizontal="center" vertical="center"/>
      <protection locked="0"/>
    </xf>
    <xf numFmtId="0" fontId="8" fillId="0" borderId="6" xfId="0" applyFont="1" applyBorder="1" applyProtection="1"/>
    <xf numFmtId="0" fontId="8" fillId="0" borderId="5" xfId="0" applyFont="1" applyBorder="1" applyAlignment="1" applyProtection="1">
      <alignment wrapText="1"/>
    </xf>
    <xf numFmtId="44" fontId="0" fillId="2" borderId="1" xfId="0" applyNumberFormat="1" applyFill="1" applyBorder="1" applyAlignment="1" applyProtection="1">
      <alignment horizontal="center" vertical="center"/>
    </xf>
    <xf numFmtId="1" fontId="0" fillId="3" borderId="11" xfId="0" applyNumberFormat="1" applyFill="1" applyBorder="1" applyAlignment="1" applyProtection="1">
      <alignment horizontal="right" vertical="center"/>
      <protection locked="0"/>
    </xf>
    <xf numFmtId="44" fontId="3" fillId="0" borderId="12" xfId="3" applyNumberFormat="1" applyFont="1" applyFill="1" applyBorder="1" applyAlignment="1" applyProtection="1">
      <alignment horizontal="center" vertical="center"/>
      <protection locked="0"/>
    </xf>
    <xf numFmtId="0" fontId="8" fillId="0" borderId="0" xfId="0" applyFont="1" applyBorder="1" applyAlignment="1" applyProtection="1">
      <alignment wrapText="1"/>
    </xf>
    <xf numFmtId="0" fontId="8" fillId="0" borderId="0" xfId="0" applyFont="1" applyBorder="1" applyProtection="1"/>
    <xf numFmtId="0" fontId="0" fillId="0" borderId="0" xfId="0" applyBorder="1" applyAlignment="1" applyProtection="1">
      <alignment wrapText="1"/>
    </xf>
    <xf numFmtId="0" fontId="6" fillId="8" borderId="0" xfId="0" quotePrefix="1" applyFont="1" applyFill="1" applyBorder="1" applyProtection="1"/>
    <xf numFmtId="0" fontId="0" fillId="0" borderId="0" xfId="0" applyFill="1" applyBorder="1" applyAlignment="1" applyProtection="1">
      <alignment wrapText="1"/>
    </xf>
    <xf numFmtId="0" fontId="0" fillId="0" borderId="0" xfId="0" applyFill="1" applyBorder="1" applyAlignment="1" applyProtection="1">
      <alignment vertical="top" wrapText="1"/>
    </xf>
    <xf numFmtId="0" fontId="0" fillId="0" borderId="0" xfId="0" applyFill="1" applyBorder="1" applyAlignment="1" applyProtection="1">
      <alignment horizontal="left" wrapText="1"/>
    </xf>
    <xf numFmtId="44" fontId="3" fillId="3" borderId="12" xfId="1" applyNumberFormat="1" applyFont="1" applyFill="1" applyBorder="1" applyAlignment="1" applyProtection="1">
      <alignment horizontal="center" vertical="center"/>
      <protection locked="0"/>
    </xf>
    <xf numFmtId="44" fontId="0" fillId="2" borderId="9" xfId="0" applyNumberFormat="1" applyFill="1" applyBorder="1" applyAlignment="1" applyProtection="1">
      <alignment horizontal="center" vertical="center"/>
    </xf>
    <xf numFmtId="44" fontId="3" fillId="0" borderId="12" xfId="1" applyNumberFormat="1" applyFont="1" applyFill="1" applyBorder="1" applyAlignment="1" applyProtection="1">
      <alignment horizontal="center" vertical="center"/>
      <protection locked="0"/>
    </xf>
    <xf numFmtId="0" fontId="0" fillId="4" borderId="1" xfId="0" applyFill="1" applyBorder="1" applyAlignment="1" applyProtection="1">
      <alignment vertical="center" wrapText="1"/>
    </xf>
    <xf numFmtId="166" fontId="0" fillId="2" borderId="43" xfId="0" applyNumberFormat="1" applyFill="1" applyBorder="1" applyAlignment="1" applyProtection="1">
      <alignment horizontal="center"/>
    </xf>
    <xf numFmtId="165" fontId="0" fillId="2" borderId="44" xfId="0" applyNumberFormat="1" applyFill="1" applyBorder="1" applyAlignment="1" applyProtection="1">
      <alignment horizontal="center"/>
    </xf>
    <xf numFmtId="9" fontId="3" fillId="2" borderId="45" xfId="3" applyFont="1" applyFill="1" applyBorder="1" applyAlignment="1" applyProtection="1">
      <alignment horizontal="center"/>
    </xf>
    <xf numFmtId="166" fontId="0" fillId="2" borderId="46" xfId="0" applyNumberFormat="1" applyFill="1" applyBorder="1" applyAlignment="1" applyProtection="1">
      <alignment horizontal="center"/>
    </xf>
    <xf numFmtId="9" fontId="3" fillId="2" borderId="47" xfId="3" applyFont="1" applyFill="1" applyBorder="1" applyAlignment="1" applyProtection="1">
      <alignment horizontal="center"/>
    </xf>
    <xf numFmtId="166" fontId="0" fillId="2" borderId="48" xfId="0" applyNumberFormat="1" applyFill="1" applyBorder="1" applyAlignment="1" applyProtection="1">
      <alignment horizontal="center"/>
    </xf>
    <xf numFmtId="166" fontId="0" fillId="2" borderId="49" xfId="0" applyNumberFormat="1" applyFill="1" applyBorder="1" applyAlignment="1" applyProtection="1">
      <alignment horizontal="center"/>
    </xf>
    <xf numFmtId="9" fontId="3" fillId="0" borderId="24" xfId="3" applyFont="1" applyFill="1" applyBorder="1" applyAlignment="1" applyProtection="1">
      <alignment horizontal="center"/>
    </xf>
    <xf numFmtId="2" fontId="3" fillId="3" borderId="1" xfId="1" applyNumberFormat="1" applyFont="1" applyFill="1" applyBorder="1" applyAlignment="1" applyProtection="1">
      <alignment horizontal="center" vertical="center"/>
      <protection locked="0"/>
    </xf>
    <xf numFmtId="44" fontId="0" fillId="2" borderId="30" xfId="0" applyNumberFormat="1" applyFill="1" applyBorder="1" applyAlignment="1" applyProtection="1">
      <alignment horizontal="center" vertical="center"/>
    </xf>
    <xf numFmtId="0" fontId="0" fillId="3" borderId="5" xfId="0" applyFill="1" applyBorder="1" applyAlignment="1" applyProtection="1">
      <alignment horizontal="center" vertical="center"/>
      <protection locked="0"/>
    </xf>
    <xf numFmtId="44" fontId="3" fillId="3" borderId="7" xfId="1" applyFont="1" applyFill="1" applyBorder="1" applyProtection="1">
      <protection locked="0"/>
    </xf>
    <xf numFmtId="44" fontId="3" fillId="3" borderId="15" xfId="1" applyFont="1" applyFill="1" applyBorder="1" applyProtection="1">
      <protection locked="0"/>
    </xf>
    <xf numFmtId="0" fontId="0" fillId="3" borderId="15" xfId="0" applyFill="1" applyBorder="1" applyAlignment="1" applyProtection="1">
      <alignment horizontal="center" vertical="center"/>
      <protection locked="0"/>
    </xf>
    <xf numFmtId="44" fontId="3" fillId="3" borderId="7" xfId="1" applyFont="1" applyFill="1" applyBorder="1" applyAlignment="1" applyProtection="1">
      <alignment horizontal="center" vertical="center"/>
      <protection locked="0"/>
    </xf>
    <xf numFmtId="44" fontId="3" fillId="0" borderId="14" xfId="1" applyFont="1" applyFill="1" applyBorder="1" applyAlignment="1" applyProtection="1">
      <alignment horizontal="center" vertical="center"/>
    </xf>
    <xf numFmtId="0" fontId="0" fillId="0" borderId="14" xfId="0" applyFill="1" applyBorder="1" applyAlignment="1" applyProtection="1">
      <alignment horizontal="center" vertical="center"/>
      <protection locked="0"/>
    </xf>
    <xf numFmtId="44" fontId="3" fillId="0" borderId="14" xfId="1" applyFont="1" applyFill="1" applyBorder="1" applyProtection="1">
      <protection locked="0"/>
    </xf>
    <xf numFmtId="44" fontId="3" fillId="2" borderId="7" xfId="1" applyFont="1" applyFill="1" applyBorder="1" applyAlignment="1" applyProtection="1">
      <alignment horizontal="center" vertical="center"/>
    </xf>
    <xf numFmtId="44" fontId="3" fillId="2" borderId="1" xfId="1" applyFont="1" applyFill="1" applyBorder="1" applyAlignment="1" applyProtection="1">
      <alignment horizontal="center" vertical="center"/>
    </xf>
    <xf numFmtId="44" fontId="0" fillId="0" borderId="9" xfId="0" applyNumberFormat="1" applyFill="1" applyBorder="1" applyAlignment="1" applyProtection="1">
      <alignment horizontal="center" vertical="center"/>
    </xf>
    <xf numFmtId="44" fontId="0" fillId="0" borderId="31" xfId="0" applyNumberFormat="1" applyFill="1" applyBorder="1" applyAlignment="1" applyProtection="1">
      <alignment horizontal="center" vertical="center"/>
    </xf>
    <xf numFmtId="166" fontId="0" fillId="0" borderId="16" xfId="0" applyNumberFormat="1" applyBorder="1" applyAlignment="1" applyProtection="1">
      <alignment horizontal="left"/>
    </xf>
    <xf numFmtId="166" fontId="0" fillId="0" borderId="17" xfId="0" applyNumberFormat="1" applyBorder="1" applyAlignment="1" applyProtection="1">
      <alignment horizontal="left"/>
    </xf>
    <xf numFmtId="0" fontId="0" fillId="0" borderId="5" xfId="0" applyBorder="1" applyAlignment="1" applyProtection="1">
      <alignment vertical="top"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xf>
    <xf numFmtId="0" fontId="0" fillId="0" borderId="5" xfId="0" applyBorder="1" applyAlignment="1" applyProtection="1">
      <alignment horizontal="left" vertical="top"/>
    </xf>
    <xf numFmtId="0" fontId="0" fillId="0" borderId="0" xfId="0" applyBorder="1" applyAlignment="1" applyProtection="1">
      <alignment horizontal="left" vertical="top" wrapText="1"/>
    </xf>
    <xf numFmtId="0" fontId="0" fillId="0" borderId="0" xfId="0" applyAlignment="1" applyProtection="1">
      <alignment horizontal="left" vertical="top" wrapText="1"/>
    </xf>
    <xf numFmtId="0" fontId="0" fillId="0" borderId="6" xfId="0" applyFill="1" applyBorder="1" applyAlignment="1" applyProtection="1">
      <alignment horizontal="left" vertical="top"/>
    </xf>
    <xf numFmtId="167" fontId="0" fillId="0" borderId="0" xfId="0" applyNumberFormat="1" applyBorder="1" applyProtection="1"/>
    <xf numFmtId="0" fontId="0" fillId="0" borderId="15" xfId="0" applyBorder="1" applyAlignment="1" applyProtection="1">
      <alignment horizontal="center"/>
    </xf>
    <xf numFmtId="166" fontId="0" fillId="2" borderId="50" xfId="0" applyNumberFormat="1" applyFill="1" applyBorder="1" applyAlignment="1" applyProtection="1">
      <alignment horizontal="center"/>
    </xf>
    <xf numFmtId="165" fontId="0" fillId="2" borderId="51" xfId="0" applyNumberFormat="1" applyFill="1" applyBorder="1" applyAlignment="1" applyProtection="1">
      <alignment horizontal="center"/>
    </xf>
    <xf numFmtId="9" fontId="3" fillId="2" borderId="52" xfId="3" applyFont="1" applyFill="1" applyBorder="1" applyAlignment="1" applyProtection="1">
      <alignment horizontal="center"/>
    </xf>
    <xf numFmtId="9" fontId="0" fillId="2" borderId="44" xfId="3" applyFont="1" applyFill="1" applyBorder="1" applyAlignment="1" applyProtection="1">
      <alignment horizontal="center"/>
    </xf>
    <xf numFmtId="164" fontId="0" fillId="0" borderId="12" xfId="0" applyNumberFormat="1" applyFill="1" applyBorder="1" applyAlignment="1" applyProtection="1">
      <alignment horizontal="center" vertical="center"/>
    </xf>
    <xf numFmtId="164" fontId="0" fillId="2" borderId="11" xfId="0" applyNumberFormat="1" applyFill="1" applyBorder="1" applyAlignment="1" applyProtection="1">
      <alignment horizontal="center" vertical="center"/>
    </xf>
    <xf numFmtId="165" fontId="0" fillId="2" borderId="13" xfId="0" applyNumberFormat="1" applyFill="1" applyBorder="1" applyAlignment="1" applyProtection="1">
      <alignment horizontal="center"/>
    </xf>
    <xf numFmtId="9" fontId="3" fillId="2" borderId="53" xfId="3" applyFont="1" applyFill="1" applyBorder="1" applyAlignment="1" applyProtection="1">
      <alignment horizontal="center"/>
    </xf>
    <xf numFmtId="44" fontId="3" fillId="3" borderId="31" xfId="1" applyNumberFormat="1" applyFont="1" applyFill="1" applyBorder="1" applyAlignment="1" applyProtection="1">
      <alignment horizontal="center" vertical="center"/>
      <protection locked="0"/>
    </xf>
    <xf numFmtId="44" fontId="3" fillId="0" borderId="31" xfId="1" applyNumberFormat="1" applyFont="1" applyFill="1" applyBorder="1" applyAlignment="1" applyProtection="1">
      <alignment horizontal="center" vertical="center"/>
      <protection locked="0"/>
    </xf>
    <xf numFmtId="0" fontId="0" fillId="0" borderId="54" xfId="0" applyBorder="1" applyAlignment="1" applyProtection="1">
      <alignment horizontal="center" vertical="center"/>
    </xf>
    <xf numFmtId="166" fontId="0" fillId="2" borderId="55" xfId="0" applyNumberFormat="1" applyFill="1" applyBorder="1" applyAlignment="1" applyProtection="1">
      <alignment horizontal="center"/>
    </xf>
    <xf numFmtId="165" fontId="0" fillId="2" borderId="56" xfId="0" applyNumberFormat="1" applyFill="1" applyBorder="1" applyAlignment="1" applyProtection="1">
      <alignment horizontal="center"/>
    </xf>
    <xf numFmtId="9" fontId="0" fillId="2" borderId="56" xfId="3" applyFont="1" applyFill="1" applyBorder="1" applyAlignment="1" applyProtection="1">
      <alignment horizontal="center"/>
    </xf>
    <xf numFmtId="167" fontId="0" fillId="2" borderId="2" xfId="0" applyNumberFormat="1" applyFill="1" applyBorder="1" applyProtection="1"/>
    <xf numFmtId="167" fontId="0" fillId="6" borderId="8" xfId="0" applyNumberFormat="1" applyFill="1" applyBorder="1" applyAlignment="1" applyProtection="1">
      <alignment wrapText="1"/>
    </xf>
    <xf numFmtId="168" fontId="0" fillId="0" borderId="0" xfId="0" applyNumberFormat="1" applyFill="1" applyBorder="1" applyProtection="1"/>
    <xf numFmtId="0" fontId="3" fillId="3" borderId="9" xfId="1" applyNumberFormat="1" applyFont="1" applyFill="1" applyBorder="1" applyProtection="1">
      <protection locked="0"/>
    </xf>
    <xf numFmtId="0" fontId="0" fillId="0" borderId="6" xfId="0" applyFont="1" applyBorder="1" applyProtection="1"/>
    <xf numFmtId="0" fontId="0" fillId="0" borderId="5" xfId="0" applyFont="1" applyFill="1" applyBorder="1" applyAlignment="1" applyProtection="1">
      <alignment vertical="top" wrapText="1"/>
    </xf>
    <xf numFmtId="0" fontId="0" fillId="0" borderId="12" xfId="0" applyFont="1" applyFill="1" applyBorder="1" applyAlignment="1" applyProtection="1">
      <alignment horizontal="left" wrapText="1"/>
    </xf>
    <xf numFmtId="0" fontId="0" fillId="0" borderId="6" xfId="0" applyFont="1" applyFill="1" applyBorder="1" applyAlignment="1" applyProtection="1">
      <alignment wrapText="1"/>
    </xf>
    <xf numFmtId="0" fontId="0" fillId="0" borderId="6" xfId="0" applyFont="1" applyFill="1" applyBorder="1" applyAlignment="1" applyProtection="1">
      <alignment horizontal="left" wrapText="1"/>
    </xf>
    <xf numFmtId="0" fontId="0" fillId="0" borderId="6" xfId="0" applyFont="1" applyFill="1" applyBorder="1" applyProtection="1"/>
    <xf numFmtId="0" fontId="0" fillId="0" borderId="15" xfId="0" applyFont="1" applyBorder="1" applyProtection="1"/>
    <xf numFmtId="0" fontId="0" fillId="4" borderId="1" xfId="0" applyFont="1" applyFill="1" applyBorder="1" applyAlignment="1" applyProtection="1">
      <alignment horizontal="center" vertical="center" wrapText="1"/>
    </xf>
    <xf numFmtId="0" fontId="0" fillId="0" borderId="7" xfId="0" applyFont="1" applyBorder="1" applyProtection="1"/>
    <xf numFmtId="44" fontId="0" fillId="3" borderId="1" xfId="1" applyFont="1" applyFill="1" applyBorder="1" applyAlignment="1" applyProtection="1">
      <alignment horizontal="center" vertical="center"/>
      <protection locked="0"/>
    </xf>
    <xf numFmtId="44" fontId="0" fillId="0" borderId="1" xfId="1" applyFont="1" applyFill="1" applyBorder="1" applyAlignment="1" applyProtection="1">
      <alignment horizontal="center" vertical="center"/>
      <protection locked="0"/>
    </xf>
    <xf numFmtId="0" fontId="0" fillId="0" borderId="1" xfId="0" applyFont="1" applyBorder="1" applyAlignment="1" applyProtection="1">
      <alignment horizontal="center" vertical="center"/>
    </xf>
    <xf numFmtId="166" fontId="0" fillId="2" borderId="41" xfId="0" applyNumberFormat="1" applyFont="1" applyFill="1" applyBorder="1" applyAlignment="1" applyProtection="1">
      <alignment horizontal="center"/>
    </xf>
    <xf numFmtId="165" fontId="0" fillId="2" borderId="42" xfId="0" applyNumberFormat="1" applyFont="1" applyFill="1" applyBorder="1" applyAlignment="1" applyProtection="1">
      <alignment horizontal="center"/>
    </xf>
    <xf numFmtId="9" fontId="0" fillId="2" borderId="21" xfId="3" applyFont="1" applyFill="1" applyBorder="1" applyAlignment="1" applyProtection="1">
      <alignment horizontal="center"/>
    </xf>
    <xf numFmtId="9" fontId="0" fillId="0" borderId="0" xfId="3" applyFont="1" applyProtection="1"/>
    <xf numFmtId="0" fontId="0" fillId="0" borderId="0" xfId="0" applyFont="1" applyBorder="1" applyProtection="1"/>
    <xf numFmtId="0" fontId="0" fillId="0" borderId="0" xfId="0" applyFont="1" applyProtection="1"/>
    <xf numFmtId="0" fontId="0" fillId="0" borderId="11" xfId="0" applyFill="1" applyBorder="1" applyAlignment="1" applyProtection="1">
      <alignment wrapText="1"/>
    </xf>
    <xf numFmtId="0" fontId="0" fillId="0" borderId="10" xfId="0" applyFill="1" applyBorder="1" applyAlignment="1" applyProtection="1">
      <alignment horizontal="center" vertical="center"/>
      <protection locked="0"/>
    </xf>
    <xf numFmtId="44" fontId="3" fillId="0" borderId="17" xfId="1" applyFont="1" applyFill="1" applyBorder="1" applyAlignment="1" applyProtection="1">
      <alignment horizontal="center" vertical="center"/>
    </xf>
    <xf numFmtId="44" fontId="0" fillId="2" borderId="19" xfId="0" applyNumberFormat="1" applyFill="1" applyBorder="1" applyAlignment="1" applyProtection="1">
      <alignment horizontal="center"/>
    </xf>
    <xf numFmtId="9" fontId="0" fillId="2" borderId="2" xfId="3" applyFont="1" applyFill="1" applyBorder="1" applyProtection="1"/>
    <xf numFmtId="9" fontId="0" fillId="2" borderId="2" xfId="0" applyNumberFormat="1" applyFill="1" applyBorder="1" applyProtection="1"/>
    <xf numFmtId="0" fontId="0" fillId="0" borderId="0" xfId="0" applyAlignment="1" applyProtection="1">
      <alignment horizontal="left" vertical="center"/>
    </xf>
    <xf numFmtId="0" fontId="0" fillId="0" borderId="0" xfId="0" applyAlignment="1" applyProtection="1">
      <alignment horizontal="right" vertical="center"/>
    </xf>
    <xf numFmtId="0" fontId="0" fillId="4" borderId="8" xfId="0" applyFill="1" applyBorder="1" applyAlignment="1" applyProtection="1">
      <alignment horizontal="right" vertical="center"/>
    </xf>
    <xf numFmtId="0" fontId="0" fillId="5" borderId="8" xfId="0" applyFill="1" applyBorder="1" applyAlignment="1" applyProtection="1">
      <alignment horizontal="right" vertical="center"/>
    </xf>
    <xf numFmtId="0" fontId="0" fillId="6" borderId="18" xfId="0" applyFill="1" applyBorder="1" applyAlignment="1" applyProtection="1">
      <alignment horizontal="right" vertical="center"/>
    </xf>
    <xf numFmtId="44" fontId="3" fillId="3" borderId="11" xfId="1" applyFont="1" applyFill="1" applyBorder="1" applyAlignment="1" applyProtection="1">
      <alignment horizontal="right" vertical="center"/>
      <protection locked="0"/>
    </xf>
    <xf numFmtId="44" fontId="3" fillId="3" borderId="12" xfId="1" applyFont="1" applyFill="1" applyBorder="1" applyAlignment="1" applyProtection="1">
      <alignment horizontal="right" vertical="center"/>
      <protection locked="0"/>
    </xf>
    <xf numFmtId="164" fontId="0" fillId="0" borderId="0" xfId="0" applyNumberFormat="1" applyFill="1" applyBorder="1" applyAlignment="1" applyProtection="1">
      <alignment horizontal="right" vertical="center"/>
    </xf>
    <xf numFmtId="0" fontId="0" fillId="8" borderId="18" xfId="0" applyFill="1" applyBorder="1" applyAlignment="1" applyProtection="1">
      <alignment horizontal="right" vertical="center"/>
    </xf>
    <xf numFmtId="0" fontId="3" fillId="3" borderId="12" xfId="1" applyNumberFormat="1" applyFont="1" applyFill="1" applyBorder="1" applyAlignment="1" applyProtection="1">
      <alignment horizontal="right" vertical="center"/>
      <protection locked="0"/>
    </xf>
    <xf numFmtId="44" fontId="3" fillId="3" borderId="12" xfId="1" applyNumberFormat="1" applyFont="1" applyFill="1" applyBorder="1" applyAlignment="1" applyProtection="1">
      <alignment horizontal="right" vertical="center"/>
      <protection locked="0"/>
    </xf>
    <xf numFmtId="44" fontId="0" fillId="2" borderId="9" xfId="0" applyNumberFormat="1" applyFill="1" applyBorder="1" applyAlignment="1" applyProtection="1">
      <alignment horizontal="right" vertical="center"/>
    </xf>
    <xf numFmtId="1" fontId="3" fillId="3" borderId="12" xfId="1" applyNumberFormat="1" applyFont="1" applyFill="1" applyBorder="1" applyAlignment="1" applyProtection="1">
      <alignment horizontal="right" vertical="center"/>
      <protection locked="0"/>
    </xf>
    <xf numFmtId="9" fontId="3" fillId="2" borderId="12" xfId="3" applyFont="1" applyFill="1" applyBorder="1" applyAlignment="1" applyProtection="1">
      <alignment horizontal="right" vertical="center"/>
      <protection locked="0"/>
    </xf>
    <xf numFmtId="0" fontId="0" fillId="3" borderId="11" xfId="0" applyFill="1" applyBorder="1" applyAlignment="1" applyProtection="1">
      <alignment horizontal="right" vertical="center"/>
      <protection locked="0"/>
    </xf>
    <xf numFmtId="0" fontId="0" fillId="3" borderId="12" xfId="0" applyFill="1" applyBorder="1" applyAlignment="1" applyProtection="1">
      <alignment horizontal="right" vertical="center"/>
      <protection locked="0"/>
    </xf>
    <xf numFmtId="44" fontId="3" fillId="2" borderId="12" xfId="1" applyFont="1" applyFill="1" applyBorder="1" applyAlignment="1" applyProtection="1">
      <alignment horizontal="right" vertical="center"/>
    </xf>
    <xf numFmtId="44" fontId="3" fillId="3" borderId="9" xfId="1" applyFont="1" applyFill="1" applyBorder="1" applyAlignment="1" applyProtection="1">
      <alignment horizontal="right" vertical="center"/>
    </xf>
    <xf numFmtId="44" fontId="3" fillId="3" borderId="9" xfId="1" applyFont="1" applyFill="1" applyBorder="1" applyAlignment="1" applyProtection="1">
      <alignment horizontal="right" vertical="center"/>
      <protection locked="0"/>
    </xf>
    <xf numFmtId="0" fontId="0" fillId="6" borderId="8" xfId="0" applyFill="1" applyBorder="1" applyAlignment="1" applyProtection="1">
      <alignment horizontal="right" vertical="center" wrapText="1"/>
    </xf>
    <xf numFmtId="0" fontId="0" fillId="0" borderId="18" xfId="0" applyBorder="1" applyAlignment="1" applyProtection="1">
      <alignment horizontal="right" vertical="center"/>
    </xf>
    <xf numFmtId="44" fontId="0" fillId="0" borderId="0" xfId="0" applyNumberFormat="1" applyBorder="1" applyAlignment="1" applyProtection="1">
      <alignment horizontal="right" vertical="center"/>
    </xf>
    <xf numFmtId="0" fontId="0" fillId="0" borderId="16" xfId="0" applyBorder="1" applyAlignment="1" applyProtection="1">
      <alignment horizontal="right" vertical="center"/>
    </xf>
    <xf numFmtId="0" fontId="0" fillId="4" borderId="4" xfId="0" applyFill="1" applyBorder="1" applyAlignment="1" applyProtection="1">
      <alignment horizontal="right"/>
    </xf>
    <xf numFmtId="0" fontId="0" fillId="5" borderId="8" xfId="0" applyFill="1" applyBorder="1" applyAlignment="1" applyProtection="1">
      <alignment horizontal="right"/>
    </xf>
    <xf numFmtId="0" fontId="0" fillId="6" borderId="18" xfId="0" applyFill="1" applyBorder="1" applyAlignment="1" applyProtection="1">
      <alignment horizontal="right"/>
    </xf>
    <xf numFmtId="0" fontId="0" fillId="8" borderId="18" xfId="0" applyFill="1" applyBorder="1" applyAlignment="1" applyProtection="1">
      <alignment horizontal="right"/>
    </xf>
    <xf numFmtId="44" fontId="3" fillId="3" borderId="12" xfId="1" applyFont="1" applyFill="1" applyBorder="1" applyAlignment="1" applyProtection="1">
      <alignment horizontal="right"/>
      <protection locked="0"/>
    </xf>
    <xf numFmtId="44" fontId="3" fillId="3" borderId="12" xfId="1" applyFont="1" applyFill="1" applyBorder="1" applyAlignment="1" applyProtection="1">
      <alignment horizontal="right" vertical="center"/>
    </xf>
    <xf numFmtId="44" fontId="3" fillId="3" borderId="1" xfId="1" applyFont="1" applyFill="1" applyBorder="1" applyAlignment="1" applyProtection="1">
      <alignment horizontal="right" vertical="center"/>
      <protection locked="0"/>
    </xf>
    <xf numFmtId="0" fontId="0" fillId="6" borderId="8" xfId="0" applyFill="1" applyBorder="1" applyAlignment="1" applyProtection="1">
      <alignment horizontal="right" wrapText="1"/>
    </xf>
    <xf numFmtId="164" fontId="0" fillId="0" borderId="0" xfId="0" applyNumberFormat="1" applyFill="1" applyBorder="1" applyAlignment="1" applyProtection="1">
      <alignment horizontal="right"/>
    </xf>
    <xf numFmtId="44" fontId="0" fillId="3" borderId="1" xfId="1" applyFont="1" applyFill="1" applyBorder="1" applyAlignment="1" applyProtection="1">
      <alignment horizontal="right" vertical="center"/>
      <protection locked="0"/>
    </xf>
    <xf numFmtId="0" fontId="0" fillId="4" borderId="8" xfId="0" applyFill="1" applyBorder="1" applyAlignment="1" applyProtection="1">
      <alignment horizontal="right"/>
    </xf>
    <xf numFmtId="44" fontId="0" fillId="3" borderId="9" xfId="1" applyFont="1" applyFill="1" applyBorder="1" applyAlignment="1" applyProtection="1">
      <alignment horizontal="right" vertical="center"/>
      <protection locked="0"/>
    </xf>
    <xf numFmtId="44" fontId="0" fillId="0" borderId="0" xfId="0" applyNumberFormat="1" applyBorder="1" applyAlignment="1" applyProtection="1">
      <alignment horizontal="right"/>
    </xf>
    <xf numFmtId="0" fontId="0" fillId="0" borderId="16" xfId="0" applyBorder="1" applyAlignment="1" applyProtection="1">
      <alignment horizontal="right"/>
    </xf>
    <xf numFmtId="164" fontId="0" fillId="2" borderId="12" xfId="0" applyNumberFormat="1" applyFill="1" applyBorder="1" applyAlignment="1" applyProtection="1">
      <alignment horizontal="right" vertical="center"/>
    </xf>
    <xf numFmtId="44" fontId="0" fillId="2" borderId="12" xfId="0" applyNumberFormat="1" applyFill="1" applyBorder="1" applyAlignment="1" applyProtection="1">
      <alignment horizontal="right" vertical="center"/>
    </xf>
    <xf numFmtId="44" fontId="3" fillId="3" borderId="31" xfId="1" applyNumberFormat="1" applyFont="1" applyFill="1" applyBorder="1" applyAlignment="1" applyProtection="1">
      <alignment horizontal="right" vertical="center"/>
      <protection locked="0"/>
    </xf>
    <xf numFmtId="2" fontId="0" fillId="3" borderId="11" xfId="0" applyNumberFormat="1" applyFill="1" applyBorder="1" applyAlignment="1" applyProtection="1">
      <alignment horizontal="right" vertical="center"/>
      <protection locked="0"/>
    </xf>
    <xf numFmtId="1" fontId="3" fillId="3" borderId="12" xfId="1" applyNumberFormat="1" applyFont="1" applyFill="1" applyBorder="1" applyAlignment="1" applyProtection="1">
      <alignment horizontal="right"/>
      <protection locked="0"/>
    </xf>
    <xf numFmtId="0" fontId="0" fillId="0" borderId="0" xfId="0" applyBorder="1" applyAlignment="1" applyProtection="1">
      <alignment horizontal="right"/>
    </xf>
    <xf numFmtId="44" fontId="0" fillId="2" borderId="31" xfId="0" applyNumberFormat="1" applyFill="1" applyBorder="1" applyAlignment="1" applyProtection="1">
      <alignment horizontal="right" vertical="center"/>
    </xf>
    <xf numFmtId="2" fontId="3" fillId="3" borderId="12" xfId="1" applyNumberFormat="1" applyFont="1" applyFill="1" applyBorder="1" applyAlignment="1" applyProtection="1">
      <alignment horizontal="right" vertical="center"/>
      <protection locked="0"/>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top" wrapText="1"/>
    </xf>
    <xf numFmtId="0" fontId="0" fillId="4" borderId="5" xfId="0" applyFill="1" applyBorder="1" applyAlignment="1">
      <alignment horizontal="center" vertical="center" wrapText="1"/>
    </xf>
    <xf numFmtId="0" fontId="0" fillId="4" borderId="10" xfId="0" applyFill="1" applyBorder="1" applyAlignment="1">
      <alignment horizontal="center" vertical="center" wrapText="1"/>
    </xf>
    <xf numFmtId="0" fontId="0" fillId="6" borderId="7" xfId="0" applyFill="1" applyBorder="1" applyAlignment="1" applyProtection="1">
      <alignment horizontal="center"/>
    </xf>
    <xf numFmtId="0" fontId="0" fillId="6" borderId="8" xfId="0" applyFill="1" applyBorder="1" applyAlignment="1" applyProtection="1">
      <alignment horizontal="center"/>
    </xf>
    <xf numFmtId="0" fontId="0" fillId="6" borderId="4" xfId="0" applyFill="1" applyBorder="1" applyAlignment="1" applyProtection="1">
      <alignment horizontal="center"/>
    </xf>
    <xf numFmtId="0" fontId="0" fillId="4" borderId="11"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0" fontId="0" fillId="4" borderId="9" xfId="0" applyFill="1" applyBorder="1" applyAlignment="1" applyProtection="1">
      <alignment horizontal="center" vertical="center" wrapText="1"/>
    </xf>
    <xf numFmtId="0" fontId="8" fillId="0" borderId="0" xfId="0" applyFont="1" applyBorder="1" applyAlignment="1" applyProtection="1">
      <alignment vertical="top"/>
    </xf>
    <xf numFmtId="169" fontId="8" fillId="2" borderId="11" xfId="0" applyNumberFormat="1" applyFont="1" applyFill="1" applyBorder="1" applyAlignment="1" applyProtection="1">
      <alignment horizontal="center" vertical="center"/>
    </xf>
    <xf numFmtId="169" fontId="8" fillId="2" borderId="12" xfId="0" applyNumberFormat="1" applyFont="1" applyFill="1" applyBorder="1" applyAlignment="1" applyProtection="1">
      <alignment horizontal="center" vertical="center"/>
    </xf>
    <xf numFmtId="0" fontId="0" fillId="2" borderId="12" xfId="0" applyFill="1" applyBorder="1" applyProtection="1"/>
    <xf numFmtId="166" fontId="0" fillId="2" borderId="12" xfId="0" applyNumberFormat="1" applyFill="1" applyBorder="1" applyProtection="1"/>
    <xf numFmtId="169" fontId="8" fillId="2" borderId="9" xfId="0" applyNumberFormat="1" applyFont="1" applyFill="1" applyBorder="1" applyAlignment="1" applyProtection="1">
      <alignment horizontal="center" vertical="center"/>
    </xf>
    <xf numFmtId="0" fontId="0" fillId="8" borderId="12" xfId="0" applyFill="1" applyBorder="1" applyProtection="1"/>
    <xf numFmtId="169" fontId="8" fillId="8" borderId="12" xfId="0" applyNumberFormat="1" applyFont="1" applyFill="1" applyBorder="1" applyAlignment="1" applyProtection="1">
      <alignment horizontal="center" vertical="center"/>
    </xf>
    <xf numFmtId="0" fontId="0" fillId="6" borderId="58" xfId="0" applyFill="1" applyBorder="1" applyAlignment="1" applyProtection="1">
      <alignment horizontal="center"/>
    </xf>
    <xf numFmtId="0" fontId="0" fillId="6" borderId="39" xfId="0" applyFill="1" applyBorder="1" applyAlignment="1" applyProtection="1">
      <alignment horizontal="center"/>
    </xf>
    <xf numFmtId="0" fontId="0" fillId="6" borderId="40" xfId="0" applyFill="1" applyBorder="1" applyProtection="1"/>
    <xf numFmtId="0" fontId="8" fillId="0" borderId="0" xfId="0" applyFont="1" applyBorder="1" applyAlignment="1" applyProtection="1">
      <alignment vertical="center"/>
    </xf>
    <xf numFmtId="0" fontId="0" fillId="0" borderId="6" xfId="0" applyBorder="1" applyAlignment="1" applyProtection="1">
      <alignment horizontal="left" vertical="top" wrapText="1"/>
    </xf>
    <xf numFmtId="0" fontId="0" fillId="0" borderId="6" xfId="0" applyBorder="1" applyAlignment="1" applyProtection="1"/>
    <xf numFmtId="0" fontId="0" fillId="0" borderId="0" xfId="0" applyBorder="1" applyAlignment="1" applyProtection="1">
      <alignment horizontal="left" vertical="center"/>
    </xf>
    <xf numFmtId="0" fontId="0" fillId="6" borderId="57" xfId="0" applyFill="1" applyBorder="1" applyProtection="1"/>
    <xf numFmtId="169" fontId="0" fillId="2" borderId="11" xfId="0" applyNumberFormat="1" applyFill="1" applyBorder="1" applyProtection="1"/>
    <xf numFmtId="169" fontId="0" fillId="2" borderId="12" xfId="0" applyNumberFormat="1" applyFill="1" applyBorder="1" applyProtection="1"/>
    <xf numFmtId="44" fontId="0" fillId="2" borderId="12" xfId="0" applyNumberFormat="1" applyFill="1" applyBorder="1" applyProtection="1"/>
    <xf numFmtId="169" fontId="0" fillId="2" borderId="9" xfId="0" applyNumberFormat="1" applyFill="1" applyBorder="1" applyProtection="1"/>
    <xf numFmtId="169" fontId="0" fillId="2" borderId="1" xfId="0" applyNumberFormat="1" applyFill="1" applyBorder="1" applyProtection="1"/>
    <xf numFmtId="169" fontId="8" fillId="2" borderId="1" xfId="0" applyNumberFormat="1" applyFont="1" applyFill="1" applyBorder="1" applyAlignment="1" applyProtection="1">
      <alignment horizontal="center" vertical="center"/>
    </xf>
    <xf numFmtId="0" fontId="0" fillId="0" borderId="6" xfId="0" applyFill="1" applyBorder="1" applyAlignment="1" applyProtection="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Calculateur_Achat!$C$105</c:f>
              <c:strCache>
                <c:ptCount val="1"/>
                <c:pt idx="0">
                  <c:v>Coût d'acquisition</c:v>
                </c:pt>
              </c:strCache>
            </c:strRef>
          </c:tx>
          <c:spPr>
            <a:solidFill>
              <a:schemeClr val="accent1"/>
            </a:solidFill>
            <a:ln>
              <a:noFill/>
            </a:ln>
            <a:effectLst/>
          </c:spPr>
          <c:invertIfNegative val="0"/>
          <c:cat>
            <c:strRef>
              <c:f>Calculateur_Achat!$D$104:$G$104</c:f>
              <c:strCache>
                <c:ptCount val="4"/>
                <c:pt idx="0">
                  <c:v>A</c:v>
                </c:pt>
                <c:pt idx="3">
                  <c:v>B</c:v>
                </c:pt>
              </c:strCache>
            </c:strRef>
          </c:cat>
          <c:val>
            <c:numRef>
              <c:f>(Calculateur_Achat!$D$105:$G$105,Calculateur_Achat!$W$45)</c:f>
              <c:numCache>
                <c:formatCode>_("$"* #,##0.00_);_("$"* \(#,##0.00\);_("$"* "-"??_);_(@_)</c:formatCode>
                <c:ptCount val="5"/>
                <c:pt idx="0">
                  <c:v>3000</c:v>
                </c:pt>
                <c:pt idx="3">
                  <c:v>3400</c:v>
                </c:pt>
              </c:numCache>
            </c:numRef>
          </c:val>
        </c:ser>
        <c:ser>
          <c:idx val="1"/>
          <c:order val="1"/>
          <c:tx>
            <c:strRef>
              <c:f>Calculateur_Achat!$C$106</c:f>
              <c:strCache>
                <c:ptCount val="1"/>
                <c:pt idx="0">
                  <c:v>Taxes</c:v>
                </c:pt>
              </c:strCache>
            </c:strRef>
          </c:tx>
          <c:spPr>
            <a:solidFill>
              <a:schemeClr val="accent2"/>
            </a:solidFill>
            <a:ln>
              <a:noFill/>
            </a:ln>
            <a:effectLst/>
          </c:spPr>
          <c:invertIfNegative val="0"/>
          <c:cat>
            <c:strRef>
              <c:f>Calculateur_Achat!$D$104:$G$104</c:f>
              <c:strCache>
                <c:ptCount val="4"/>
                <c:pt idx="0">
                  <c:v>A</c:v>
                </c:pt>
                <c:pt idx="3">
                  <c:v>B</c:v>
                </c:pt>
              </c:strCache>
            </c:strRef>
          </c:cat>
          <c:val>
            <c:numRef>
              <c:f>Calculateur_Achat!$D$106:$G$106</c:f>
              <c:numCache>
                <c:formatCode>_("$"* #,##0.00_);_("$"* \(#,##0.00\);_("$"* "-"??_);_(@_)</c:formatCode>
                <c:ptCount val="4"/>
                <c:pt idx="0">
                  <c:v>400</c:v>
                </c:pt>
                <c:pt idx="3">
                  <c:v>400</c:v>
                </c:pt>
              </c:numCache>
            </c:numRef>
          </c:val>
        </c:ser>
        <c:ser>
          <c:idx val="2"/>
          <c:order val="2"/>
          <c:tx>
            <c:strRef>
              <c:f>Calculateur_Achat!$C$107</c:f>
              <c:strCache>
                <c:ptCount val="1"/>
                <c:pt idx="0">
                  <c:v>Taxes sur les pneus et la climatisation</c:v>
                </c:pt>
              </c:strCache>
            </c:strRef>
          </c:tx>
          <c:spPr>
            <a:solidFill>
              <a:schemeClr val="accent3"/>
            </a:solidFill>
            <a:ln>
              <a:noFill/>
            </a:ln>
            <a:effectLst/>
          </c:spPr>
          <c:invertIfNegative val="0"/>
          <c:cat>
            <c:strRef>
              <c:f>Calculateur_Achat!$D$104:$G$104</c:f>
              <c:strCache>
                <c:ptCount val="4"/>
                <c:pt idx="0">
                  <c:v>A</c:v>
                </c:pt>
                <c:pt idx="3">
                  <c:v>B</c:v>
                </c:pt>
              </c:strCache>
            </c:strRef>
          </c:cat>
          <c:val>
            <c:numRef>
              <c:f>Calculateur_Achat!$D$107:$G$107</c:f>
              <c:numCache>
                <c:formatCode>_("$"* #,##0.00_);_("$"* \(#,##0.00\);_("$"* "-"??_);_(@_)</c:formatCode>
                <c:ptCount val="4"/>
                <c:pt idx="0">
                  <c:v>26</c:v>
                </c:pt>
                <c:pt idx="3">
                  <c:v>26</c:v>
                </c:pt>
              </c:numCache>
            </c:numRef>
          </c:val>
        </c:ser>
        <c:ser>
          <c:idx val="3"/>
          <c:order val="3"/>
          <c:tx>
            <c:strRef>
              <c:f>Calculateur_Achat!$C$108</c:f>
              <c:strCache>
                <c:ptCount val="1"/>
                <c:pt idx="0">
                  <c:v>Frais de transport et préparation</c:v>
                </c:pt>
              </c:strCache>
            </c:strRef>
          </c:tx>
          <c:spPr>
            <a:solidFill>
              <a:schemeClr val="accent4"/>
            </a:solidFill>
            <a:ln>
              <a:noFill/>
            </a:ln>
            <a:effectLst/>
          </c:spPr>
          <c:invertIfNegative val="0"/>
          <c:cat>
            <c:strRef>
              <c:f>Calculateur_Achat!$D$104:$G$104</c:f>
              <c:strCache>
                <c:ptCount val="4"/>
                <c:pt idx="0">
                  <c:v>A</c:v>
                </c:pt>
                <c:pt idx="3">
                  <c:v>B</c:v>
                </c:pt>
              </c:strCache>
            </c:strRef>
          </c:cat>
          <c:val>
            <c:numRef>
              <c:f>Calculateur_Achat!$D$108:$G$108</c:f>
              <c:numCache>
                <c:formatCode>_("$"* #,##0.00_);_("$"* \(#,##0.00\);_("$"* "-"??_);_(@_)</c:formatCode>
                <c:ptCount val="4"/>
                <c:pt idx="0">
                  <c:v>380</c:v>
                </c:pt>
                <c:pt idx="3">
                  <c:v>380</c:v>
                </c:pt>
              </c:numCache>
            </c:numRef>
          </c:val>
        </c:ser>
        <c:ser>
          <c:idx val="4"/>
          <c:order val="4"/>
          <c:tx>
            <c:strRef>
              <c:f>Calculateur_Achat!$C$109</c:f>
              <c:strCache>
                <c:ptCount val="1"/>
                <c:pt idx="0">
                  <c:v>Coût d'immatriculation</c:v>
                </c:pt>
              </c:strCache>
            </c:strRef>
          </c:tx>
          <c:spPr>
            <a:solidFill>
              <a:schemeClr val="accent5"/>
            </a:solidFill>
            <a:ln>
              <a:noFill/>
            </a:ln>
            <a:effectLst/>
          </c:spPr>
          <c:invertIfNegative val="0"/>
          <c:cat>
            <c:strRef>
              <c:f>Calculateur_Achat!$D$104:$G$104</c:f>
              <c:strCache>
                <c:ptCount val="4"/>
                <c:pt idx="0">
                  <c:v>A</c:v>
                </c:pt>
                <c:pt idx="3">
                  <c:v>B</c:v>
                </c:pt>
              </c:strCache>
            </c:strRef>
          </c:cat>
          <c:val>
            <c:numRef>
              <c:f>Calculateur_Achat!$D$109:$G$109</c:f>
              <c:numCache>
                <c:formatCode>_("$"* #,##0.00_);_("$"* \(#,##0.00\);_("$"* "-"??_);_(@_)</c:formatCode>
                <c:ptCount val="4"/>
                <c:pt idx="0">
                  <c:v>1000</c:v>
                </c:pt>
                <c:pt idx="3">
                  <c:v>1000</c:v>
                </c:pt>
              </c:numCache>
            </c:numRef>
          </c:val>
        </c:ser>
        <c:ser>
          <c:idx val="5"/>
          <c:order val="5"/>
          <c:tx>
            <c:strRef>
              <c:f>Calculateur_Achat!$C$110</c:f>
              <c:strCache>
                <c:ptCount val="1"/>
                <c:pt idx="0">
                  <c:v>Coût de la plaque</c:v>
                </c:pt>
              </c:strCache>
            </c:strRef>
          </c:tx>
          <c:spPr>
            <a:solidFill>
              <a:schemeClr val="accent6"/>
            </a:solidFill>
            <a:ln>
              <a:noFill/>
            </a:ln>
            <a:effectLst/>
          </c:spPr>
          <c:invertIfNegative val="0"/>
          <c:cat>
            <c:strRef>
              <c:f>Calculateur_Achat!$D$104:$G$104</c:f>
              <c:strCache>
                <c:ptCount val="4"/>
                <c:pt idx="0">
                  <c:v>A</c:v>
                </c:pt>
                <c:pt idx="3">
                  <c:v>B</c:v>
                </c:pt>
              </c:strCache>
            </c:strRef>
          </c:cat>
          <c:val>
            <c:numRef>
              <c:f>Calculateur_Achat!$D$110:$G$110</c:f>
              <c:numCache>
                <c:formatCode>_("$"* #,##0.00_);_("$"* \(#,##0.00\);_("$"* "-"??_);_(@_)</c:formatCode>
                <c:ptCount val="4"/>
                <c:pt idx="0">
                  <c:v>10</c:v>
                </c:pt>
                <c:pt idx="3">
                  <c:v>10</c:v>
                </c:pt>
              </c:numCache>
            </c:numRef>
          </c:val>
        </c:ser>
        <c:ser>
          <c:idx val="6"/>
          <c:order val="6"/>
          <c:tx>
            <c:strRef>
              <c:f>Calculateur_Achat!$C$111</c:f>
              <c:strCache>
                <c:ptCount val="1"/>
                <c:pt idx="0">
                  <c:v>Coût de l'assurance-automobile</c:v>
                </c:pt>
              </c:strCache>
            </c:strRef>
          </c:tx>
          <c:spPr>
            <a:solidFill>
              <a:schemeClr val="accent1">
                <a:lumMod val="60000"/>
              </a:schemeClr>
            </a:solidFill>
            <a:ln>
              <a:noFill/>
            </a:ln>
            <a:effectLst/>
          </c:spPr>
          <c:invertIfNegative val="0"/>
          <c:cat>
            <c:strRef>
              <c:f>Calculateur_Achat!$D$104:$G$104</c:f>
              <c:strCache>
                <c:ptCount val="4"/>
                <c:pt idx="0">
                  <c:v>A</c:v>
                </c:pt>
                <c:pt idx="3">
                  <c:v>B</c:v>
                </c:pt>
              </c:strCache>
            </c:strRef>
          </c:cat>
          <c:val>
            <c:numRef>
              <c:f>Calculateur_Achat!$D$111:$G$111</c:f>
              <c:numCache>
                <c:formatCode>_("$"* #,##0.00_);_("$"* \(#,##0.00\);_("$"* "-"??_);_(@_)</c:formatCode>
                <c:ptCount val="4"/>
                <c:pt idx="0">
                  <c:v>200</c:v>
                </c:pt>
                <c:pt idx="3">
                  <c:v>200</c:v>
                </c:pt>
              </c:numCache>
            </c:numRef>
          </c:val>
        </c:ser>
        <c:ser>
          <c:idx val="7"/>
          <c:order val="7"/>
          <c:tx>
            <c:strRef>
              <c:f>Calculateur_Achat!$C$112</c:f>
              <c:strCache>
                <c:ptCount val="1"/>
                <c:pt idx="0">
                  <c:v>Frais d'adhésion à des associations automobile</c:v>
                </c:pt>
              </c:strCache>
            </c:strRef>
          </c:tx>
          <c:spPr>
            <a:solidFill>
              <a:schemeClr val="accent2">
                <a:lumMod val="60000"/>
              </a:schemeClr>
            </a:solidFill>
            <a:ln>
              <a:noFill/>
            </a:ln>
            <a:effectLst/>
          </c:spPr>
          <c:invertIfNegative val="0"/>
          <c:cat>
            <c:strRef>
              <c:f>Calculateur_Achat!$D$104:$G$104</c:f>
              <c:strCache>
                <c:ptCount val="4"/>
                <c:pt idx="0">
                  <c:v>A</c:v>
                </c:pt>
                <c:pt idx="3">
                  <c:v>B</c:v>
                </c:pt>
              </c:strCache>
            </c:strRef>
          </c:cat>
          <c:val>
            <c:numRef>
              <c:f>Calculateur_Achat!$D$112:$G$112</c:f>
              <c:numCache>
                <c:formatCode>_("$"* #,##0.00_);_("$"* \(#,##0.00\);_("$"* "-"??_);_(@_)</c:formatCode>
                <c:ptCount val="4"/>
                <c:pt idx="0">
                  <c:v>100</c:v>
                </c:pt>
                <c:pt idx="3">
                  <c:v>100</c:v>
                </c:pt>
              </c:numCache>
            </c:numRef>
          </c:val>
        </c:ser>
        <c:ser>
          <c:idx val="8"/>
          <c:order val="8"/>
          <c:tx>
            <c:strRef>
              <c:f>Calculateur_Achat!$C$113</c:f>
              <c:strCache>
                <c:ptCount val="1"/>
                <c:pt idx="0">
                  <c:v>Consommation énergétique</c:v>
                </c:pt>
              </c:strCache>
            </c:strRef>
          </c:tx>
          <c:spPr>
            <a:solidFill>
              <a:schemeClr val="accent3">
                <a:lumMod val="60000"/>
              </a:schemeClr>
            </a:solidFill>
            <a:ln>
              <a:noFill/>
            </a:ln>
            <a:effectLst/>
          </c:spPr>
          <c:invertIfNegative val="0"/>
          <c:cat>
            <c:strRef>
              <c:f>Calculateur_Achat!$D$104:$G$104</c:f>
              <c:strCache>
                <c:ptCount val="4"/>
                <c:pt idx="0">
                  <c:v>A</c:v>
                </c:pt>
                <c:pt idx="3">
                  <c:v>B</c:v>
                </c:pt>
              </c:strCache>
            </c:strRef>
          </c:cat>
          <c:val>
            <c:numRef>
              <c:f>Calculateur_Achat!$D$113:$G$113</c:f>
              <c:numCache>
                <c:formatCode>_("$"* #,##0.00_);_("$"* \(#,##0.00\);_("$"* "-"??_);_(@_)</c:formatCode>
                <c:ptCount val="4"/>
                <c:pt idx="0">
                  <c:v>1404</c:v>
                </c:pt>
                <c:pt idx="3">
                  <c:v>1269.0000000000002</c:v>
                </c:pt>
              </c:numCache>
            </c:numRef>
          </c:val>
        </c:ser>
        <c:ser>
          <c:idx val="9"/>
          <c:order val="9"/>
          <c:tx>
            <c:strRef>
              <c:f>Calculateur_Achat!$C$114</c:f>
              <c:strCache>
                <c:ptCount val="1"/>
                <c:pt idx="0">
                  <c:v>Coût de maintenance</c:v>
                </c:pt>
              </c:strCache>
            </c:strRef>
          </c:tx>
          <c:spPr>
            <a:solidFill>
              <a:schemeClr val="accent4">
                <a:lumMod val="60000"/>
              </a:schemeClr>
            </a:solidFill>
            <a:ln>
              <a:noFill/>
            </a:ln>
            <a:effectLst/>
          </c:spPr>
          <c:invertIfNegative val="0"/>
          <c:cat>
            <c:strRef>
              <c:f>Calculateur_Achat!$D$104:$G$104</c:f>
              <c:strCache>
                <c:ptCount val="4"/>
                <c:pt idx="0">
                  <c:v>A</c:v>
                </c:pt>
                <c:pt idx="3">
                  <c:v>B</c:v>
                </c:pt>
              </c:strCache>
            </c:strRef>
          </c:cat>
          <c:val>
            <c:numRef>
              <c:f>Calculateur_Achat!$D$114:$G$114</c:f>
              <c:numCache>
                <c:formatCode>_("$"* #,##0.00_);_("$"* \(#,##0.00\);_("$"* "-"??_);_(@_)</c:formatCode>
                <c:ptCount val="4"/>
                <c:pt idx="0">
                  <c:v>200</c:v>
                </c:pt>
                <c:pt idx="3">
                  <c:v>200</c:v>
                </c:pt>
              </c:numCache>
            </c:numRef>
          </c:val>
        </c:ser>
        <c:ser>
          <c:idx val="10"/>
          <c:order val="10"/>
          <c:tx>
            <c:strRef>
              <c:f>Calculateur_Achat!$C$115</c:f>
              <c:strCache>
                <c:ptCount val="1"/>
                <c:pt idx="0">
                  <c:v>Coût de réparation</c:v>
                </c:pt>
              </c:strCache>
            </c:strRef>
          </c:tx>
          <c:spPr>
            <a:solidFill>
              <a:schemeClr val="accent5">
                <a:lumMod val="60000"/>
              </a:schemeClr>
            </a:solidFill>
            <a:ln>
              <a:noFill/>
            </a:ln>
            <a:effectLst/>
          </c:spPr>
          <c:invertIfNegative val="0"/>
          <c:cat>
            <c:strRef>
              <c:f>Calculateur_Achat!$D$104:$G$104</c:f>
              <c:strCache>
                <c:ptCount val="4"/>
                <c:pt idx="0">
                  <c:v>A</c:v>
                </c:pt>
                <c:pt idx="3">
                  <c:v>B</c:v>
                </c:pt>
              </c:strCache>
            </c:strRef>
          </c:cat>
          <c:val>
            <c:numRef>
              <c:f>Calculateur_Achat!$D$115:$G$115</c:f>
              <c:numCache>
                <c:formatCode>_("$"* #,##0.00_);_("$"* \(#,##0.00\);_("$"* "-"??_);_(@_)</c:formatCode>
                <c:ptCount val="4"/>
                <c:pt idx="0">
                  <c:v>125</c:v>
                </c:pt>
                <c:pt idx="3">
                  <c:v>500</c:v>
                </c:pt>
              </c:numCache>
            </c:numRef>
          </c:val>
        </c:ser>
        <c:ser>
          <c:idx val="11"/>
          <c:order val="11"/>
          <c:tx>
            <c:strRef>
              <c:f>Calculateur_Achat!$C$116</c:f>
              <c:strCache>
                <c:ptCount val="1"/>
                <c:pt idx="0">
                  <c:v>Coûts de perte de productivités (downtime)</c:v>
                </c:pt>
              </c:strCache>
            </c:strRef>
          </c:tx>
          <c:spPr>
            <a:solidFill>
              <a:schemeClr val="accent6">
                <a:lumMod val="60000"/>
              </a:schemeClr>
            </a:solidFill>
            <a:ln>
              <a:noFill/>
            </a:ln>
            <a:effectLst/>
          </c:spPr>
          <c:invertIfNegative val="0"/>
          <c:cat>
            <c:strRef>
              <c:f>Calculateur_Achat!$D$104:$G$104</c:f>
              <c:strCache>
                <c:ptCount val="4"/>
                <c:pt idx="0">
                  <c:v>A</c:v>
                </c:pt>
                <c:pt idx="3">
                  <c:v>B</c:v>
                </c:pt>
              </c:strCache>
            </c:strRef>
          </c:cat>
          <c:val>
            <c:numRef>
              <c:f>Calculateur_Achat!$D$116:$G$116</c:f>
              <c:numCache>
                <c:formatCode>_("$"* #,##0.00_);_("$"* \(#,##0.00\);_("$"* "-"??_);_(@_)</c:formatCode>
                <c:ptCount val="4"/>
                <c:pt idx="0">
                  <c:v>210</c:v>
                </c:pt>
                <c:pt idx="3">
                  <c:v>210</c:v>
                </c:pt>
              </c:numCache>
            </c:numRef>
          </c:val>
        </c:ser>
        <c:ser>
          <c:idx val="12"/>
          <c:order val="12"/>
          <c:tx>
            <c:strRef>
              <c:f>Calculateur_Achat!$C$117</c:f>
              <c:strCache>
                <c:ptCount val="1"/>
                <c:pt idx="0">
                  <c:v>Coûts divers </c:v>
                </c:pt>
              </c:strCache>
            </c:strRef>
          </c:tx>
          <c:spPr>
            <a:solidFill>
              <a:schemeClr val="accent1">
                <a:lumMod val="80000"/>
                <a:lumOff val="20000"/>
              </a:schemeClr>
            </a:solidFill>
            <a:ln>
              <a:noFill/>
            </a:ln>
            <a:effectLst/>
          </c:spPr>
          <c:invertIfNegative val="0"/>
          <c:cat>
            <c:strRef>
              <c:f>Calculateur_Achat!$D$104:$G$104</c:f>
              <c:strCache>
                <c:ptCount val="4"/>
                <c:pt idx="0">
                  <c:v>A</c:v>
                </c:pt>
                <c:pt idx="3">
                  <c:v>B</c:v>
                </c:pt>
              </c:strCache>
            </c:strRef>
          </c:cat>
          <c:val>
            <c:numRef>
              <c:f>Calculateur_Achat!$D$117:$G$117</c:f>
              <c:numCache>
                <c:formatCode>_("$"* #,##0.00_);_("$"* \(#,##0.00\);_("$"* "-"??_);_(@_)</c:formatCode>
                <c:ptCount val="4"/>
                <c:pt idx="0">
                  <c:v>100</c:v>
                </c:pt>
                <c:pt idx="3">
                  <c:v>100</c:v>
                </c:pt>
              </c:numCache>
            </c:numRef>
          </c:val>
        </c:ser>
        <c:ser>
          <c:idx val="13"/>
          <c:order val="13"/>
          <c:tx>
            <c:strRef>
              <c:f>Calculateur_Achat!$C$118</c:f>
              <c:strCache>
                <c:ptCount val="1"/>
                <c:pt idx="0">
                  <c:v>Dépréciation</c:v>
                </c:pt>
              </c:strCache>
            </c:strRef>
          </c:tx>
          <c:spPr>
            <a:solidFill>
              <a:schemeClr val="accent2">
                <a:lumMod val="80000"/>
                <a:lumOff val="20000"/>
              </a:schemeClr>
            </a:solidFill>
            <a:ln>
              <a:noFill/>
            </a:ln>
            <a:effectLst/>
          </c:spPr>
          <c:invertIfNegative val="0"/>
          <c:cat>
            <c:strRef>
              <c:f>Calculateur_Achat!$D$104:$G$104</c:f>
              <c:strCache>
                <c:ptCount val="4"/>
                <c:pt idx="0">
                  <c:v>A</c:v>
                </c:pt>
                <c:pt idx="3">
                  <c:v>B</c:v>
                </c:pt>
              </c:strCache>
            </c:strRef>
          </c:cat>
          <c:val>
            <c:numRef>
              <c:f>Calculateur_Achat!$D$118:$G$118</c:f>
              <c:numCache>
                <c:formatCode>_("$"* #,##0.00_);_("$"* \(#,##0.00\);_("$"* "-"??_);_(@_)</c:formatCode>
                <c:ptCount val="4"/>
                <c:pt idx="0">
                  <c:v>-200</c:v>
                </c:pt>
                <c:pt idx="3">
                  <c:v>-200</c:v>
                </c:pt>
              </c:numCache>
            </c:numRef>
          </c:val>
        </c:ser>
        <c:ser>
          <c:idx val="14"/>
          <c:order val="14"/>
          <c:tx>
            <c:strRef>
              <c:f>Calculateur_Achat!$C$119</c:f>
              <c:strCache>
                <c:ptCount val="1"/>
                <c:pt idx="0">
                  <c:v>Frais d'élimination/gestion de fin de vie</c:v>
                </c:pt>
              </c:strCache>
            </c:strRef>
          </c:tx>
          <c:spPr>
            <a:solidFill>
              <a:schemeClr val="accent3">
                <a:lumMod val="80000"/>
                <a:lumOff val="20000"/>
              </a:schemeClr>
            </a:solidFill>
            <a:ln>
              <a:noFill/>
            </a:ln>
            <a:effectLst/>
          </c:spPr>
          <c:invertIfNegative val="0"/>
          <c:cat>
            <c:strRef>
              <c:f>Calculateur_Achat!$D$104:$G$104</c:f>
              <c:strCache>
                <c:ptCount val="4"/>
                <c:pt idx="0">
                  <c:v>A</c:v>
                </c:pt>
                <c:pt idx="3">
                  <c:v>B</c:v>
                </c:pt>
              </c:strCache>
            </c:strRef>
          </c:cat>
          <c:val>
            <c:numRef>
              <c:f>Calculateur_Achat!$D$119:$G$119</c:f>
              <c:numCache>
                <c:formatCode>General</c:formatCode>
                <c:ptCount val="4"/>
                <c:pt idx="0" formatCode="_(&quot;$&quot;* #,##0.00_);_(&quot;$&quot;* \(#,##0.00\);_(&quot;$&quot;* &quot;-&quot;??_);_(@_)">
                  <c:v>20</c:v>
                </c:pt>
                <c:pt idx="3" formatCode="_(&quot;$&quot;* #,##0.00_);_(&quot;$&quot;* \(#,##0.00\);_(&quot;$&quot;* &quot;-&quot;??_);_(@_)">
                  <c:v>20</c:v>
                </c:pt>
              </c:numCache>
            </c:numRef>
          </c:val>
        </c:ser>
        <c:dLbls>
          <c:showLegendKey val="0"/>
          <c:showVal val="0"/>
          <c:showCatName val="0"/>
          <c:showSerName val="0"/>
          <c:showPercent val="0"/>
          <c:showBubbleSize val="0"/>
        </c:dLbls>
        <c:gapWidth val="150"/>
        <c:overlap val="100"/>
        <c:axId val="289485176"/>
        <c:axId val="289485568"/>
      </c:barChart>
      <c:catAx>
        <c:axId val="289485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9485568"/>
        <c:crosses val="autoZero"/>
        <c:auto val="1"/>
        <c:lblAlgn val="ctr"/>
        <c:lblOffset val="100"/>
        <c:noMultiLvlLbl val="0"/>
      </c:catAx>
      <c:valAx>
        <c:axId val="2894855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89485176"/>
        <c:crosses val="autoZero"/>
        <c:crossBetween val="between"/>
      </c:valAx>
      <c:spPr>
        <a:noFill/>
        <a:ln>
          <a:noFill/>
        </a:ln>
        <a:effectLst/>
      </c:spPr>
    </c:plotArea>
    <c:legend>
      <c:legendPos val="r"/>
      <c:layout>
        <c:manualLayout>
          <c:xMode val="edge"/>
          <c:yMode val="edge"/>
          <c:x val="0.64993703837031125"/>
          <c:y val="7.2760207422948475E-2"/>
          <c:w val="0.33741372122440094"/>
          <c:h val="0.861321934715488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06512970035043"/>
          <c:y val="0.11663522012578618"/>
          <c:w val="0.51608894715845766"/>
          <c:h val="0.810414252463725"/>
        </c:manualLayout>
      </c:layout>
      <c:barChart>
        <c:barDir val="col"/>
        <c:grouping val="stacked"/>
        <c:varyColors val="0"/>
        <c:ser>
          <c:idx val="0"/>
          <c:order val="0"/>
          <c:tx>
            <c:strRef>
              <c:f>'Calculateur_LocationLong terme'!$C$100</c:f>
              <c:strCache>
                <c:ptCount val="1"/>
                <c:pt idx="0">
                  <c:v>Coût de location</c:v>
                </c:pt>
              </c:strCache>
            </c:strRef>
          </c:tx>
          <c:spPr>
            <a:solidFill>
              <a:schemeClr val="accent1"/>
            </a:solidFill>
            <a:ln>
              <a:noFill/>
            </a:ln>
            <a:effectLst/>
          </c:spPr>
          <c:invertIfNegative val="0"/>
          <c:cat>
            <c:strRef>
              <c:f>'Calculateur_LocationLong terme'!$D$99:$G$99</c:f>
              <c:strCache>
                <c:ptCount val="4"/>
                <c:pt idx="0">
                  <c:v>A</c:v>
                </c:pt>
                <c:pt idx="3">
                  <c:v>B</c:v>
                </c:pt>
              </c:strCache>
            </c:strRef>
          </c:cat>
          <c:val>
            <c:numRef>
              <c:f>'Calculateur_LocationLong terme'!$D$100:$G$100</c:f>
              <c:numCache>
                <c:formatCode>_("$"* #,##0.00_);_("$"* \(#,##0.00\);_("$"* "-"??_);_(@_)</c:formatCode>
                <c:ptCount val="4"/>
                <c:pt idx="0">
                  <c:v>1000</c:v>
                </c:pt>
                <c:pt idx="3">
                  <c:v>1000</c:v>
                </c:pt>
              </c:numCache>
            </c:numRef>
          </c:val>
        </c:ser>
        <c:ser>
          <c:idx val="1"/>
          <c:order val="1"/>
          <c:tx>
            <c:strRef>
              <c:f>'Calculateur_LocationLong terme'!$C$101</c:f>
              <c:strCache>
                <c:ptCount val="1"/>
                <c:pt idx="0">
                  <c:v>Taxes</c:v>
                </c:pt>
              </c:strCache>
            </c:strRef>
          </c:tx>
          <c:spPr>
            <a:solidFill>
              <a:schemeClr val="accent2"/>
            </a:solidFill>
            <a:ln>
              <a:noFill/>
            </a:ln>
            <a:effectLst/>
          </c:spPr>
          <c:invertIfNegative val="0"/>
          <c:cat>
            <c:strRef>
              <c:f>'Calculateur_LocationLong terme'!$D$99:$G$99</c:f>
              <c:strCache>
                <c:ptCount val="4"/>
                <c:pt idx="0">
                  <c:v>A</c:v>
                </c:pt>
                <c:pt idx="3">
                  <c:v>B</c:v>
                </c:pt>
              </c:strCache>
            </c:strRef>
          </c:cat>
          <c:val>
            <c:numRef>
              <c:f>'Calculateur_LocationLong terme'!$D$101:$G$101</c:f>
              <c:numCache>
                <c:formatCode>_("$"* #,##0.00_);_("$"* \(#,##0.00\);_("$"* "-"??_);_(@_)</c:formatCode>
                <c:ptCount val="4"/>
                <c:pt idx="0">
                  <c:v>150</c:v>
                </c:pt>
                <c:pt idx="3">
                  <c:v>150</c:v>
                </c:pt>
              </c:numCache>
            </c:numRef>
          </c:val>
        </c:ser>
        <c:ser>
          <c:idx val="2"/>
          <c:order val="2"/>
          <c:tx>
            <c:strRef>
              <c:f>'Calculateur_LocationLong terme'!$C$102</c:f>
              <c:strCache>
                <c:ptCount val="1"/>
                <c:pt idx="0">
                  <c:v>Taxes sur les pneus et la climatisation</c:v>
                </c:pt>
              </c:strCache>
            </c:strRef>
          </c:tx>
          <c:spPr>
            <a:solidFill>
              <a:schemeClr val="accent3"/>
            </a:solidFill>
            <a:ln>
              <a:noFill/>
            </a:ln>
            <a:effectLst/>
          </c:spPr>
          <c:invertIfNegative val="0"/>
          <c:cat>
            <c:strRef>
              <c:f>'Calculateur_LocationLong terme'!$D$99:$G$99</c:f>
              <c:strCache>
                <c:ptCount val="4"/>
                <c:pt idx="0">
                  <c:v>A</c:v>
                </c:pt>
                <c:pt idx="3">
                  <c:v>B</c:v>
                </c:pt>
              </c:strCache>
            </c:strRef>
          </c:cat>
          <c:val>
            <c:numRef>
              <c:f>'Calculateur_LocationLong terme'!$D$102:$G$102</c:f>
              <c:numCache>
                <c:formatCode>_("$"* #,##0.00_);_("$"* \(#,##0.00\);_("$"* "-"??_);_(@_)</c:formatCode>
                <c:ptCount val="4"/>
                <c:pt idx="0">
                  <c:v>130</c:v>
                </c:pt>
                <c:pt idx="3">
                  <c:v>130</c:v>
                </c:pt>
              </c:numCache>
            </c:numRef>
          </c:val>
        </c:ser>
        <c:ser>
          <c:idx val="3"/>
          <c:order val="3"/>
          <c:tx>
            <c:strRef>
              <c:f>'Calculateur_LocationLong terme'!$C$103</c:f>
              <c:strCache>
                <c:ptCount val="1"/>
                <c:pt idx="0">
                  <c:v>Frais de transport et préparation</c:v>
                </c:pt>
              </c:strCache>
            </c:strRef>
          </c:tx>
          <c:spPr>
            <a:solidFill>
              <a:schemeClr val="accent4"/>
            </a:solidFill>
            <a:ln>
              <a:noFill/>
            </a:ln>
            <a:effectLst/>
          </c:spPr>
          <c:invertIfNegative val="0"/>
          <c:cat>
            <c:strRef>
              <c:f>'Calculateur_LocationLong terme'!$D$99:$G$99</c:f>
              <c:strCache>
                <c:ptCount val="4"/>
                <c:pt idx="0">
                  <c:v>A</c:v>
                </c:pt>
                <c:pt idx="3">
                  <c:v>B</c:v>
                </c:pt>
              </c:strCache>
            </c:strRef>
          </c:cat>
          <c:val>
            <c:numRef>
              <c:f>'Calculateur_LocationLong terme'!$D$103:$G$103</c:f>
              <c:numCache>
                <c:formatCode>_("$"* #,##0.00_);_("$"* \(#,##0.00\);_("$"* "-"??_);_(@_)</c:formatCode>
                <c:ptCount val="4"/>
                <c:pt idx="0">
                  <c:v>1900</c:v>
                </c:pt>
                <c:pt idx="3">
                  <c:v>1900</c:v>
                </c:pt>
              </c:numCache>
            </c:numRef>
          </c:val>
        </c:ser>
        <c:ser>
          <c:idx val="4"/>
          <c:order val="4"/>
          <c:tx>
            <c:strRef>
              <c:f>'Calculateur_LocationLong terme'!$C$104</c:f>
              <c:strCache>
                <c:ptCount val="1"/>
                <c:pt idx="0">
                  <c:v>Coût du kilométrage additionnel</c:v>
                </c:pt>
              </c:strCache>
            </c:strRef>
          </c:tx>
          <c:spPr>
            <a:solidFill>
              <a:schemeClr val="accent5"/>
            </a:solidFill>
            <a:ln>
              <a:noFill/>
            </a:ln>
            <a:effectLst/>
          </c:spPr>
          <c:invertIfNegative val="0"/>
          <c:cat>
            <c:strRef>
              <c:f>'Calculateur_LocationLong terme'!$D$99:$G$99</c:f>
              <c:strCache>
                <c:ptCount val="4"/>
                <c:pt idx="0">
                  <c:v>A</c:v>
                </c:pt>
                <c:pt idx="3">
                  <c:v>B</c:v>
                </c:pt>
              </c:strCache>
            </c:strRef>
          </c:cat>
          <c:val>
            <c:numRef>
              <c:f>'Calculateur_LocationLong terme'!$D$104:$G$104</c:f>
              <c:numCache>
                <c:formatCode>_("$"* #,##0.00_);_("$"* \(#,##0.00\);_("$"* "-"??_);_(@_)</c:formatCode>
                <c:ptCount val="4"/>
                <c:pt idx="0">
                  <c:v>25</c:v>
                </c:pt>
                <c:pt idx="3">
                  <c:v>25</c:v>
                </c:pt>
              </c:numCache>
            </c:numRef>
          </c:val>
        </c:ser>
        <c:ser>
          <c:idx val="5"/>
          <c:order val="5"/>
          <c:tx>
            <c:strRef>
              <c:f>'Calculateur_LocationLong terme'!$C$105</c:f>
              <c:strCache>
                <c:ptCount val="1"/>
                <c:pt idx="0">
                  <c:v>Coût d'immatriculation</c:v>
                </c:pt>
              </c:strCache>
            </c:strRef>
          </c:tx>
          <c:spPr>
            <a:solidFill>
              <a:schemeClr val="accent6"/>
            </a:solidFill>
            <a:ln>
              <a:noFill/>
            </a:ln>
            <a:effectLst/>
          </c:spPr>
          <c:invertIfNegative val="0"/>
          <c:cat>
            <c:strRef>
              <c:f>'Calculateur_LocationLong terme'!$D$99:$G$99</c:f>
              <c:strCache>
                <c:ptCount val="4"/>
                <c:pt idx="0">
                  <c:v>A</c:v>
                </c:pt>
                <c:pt idx="3">
                  <c:v>B</c:v>
                </c:pt>
              </c:strCache>
            </c:strRef>
          </c:cat>
          <c:val>
            <c:numRef>
              <c:f>'Calculateur_LocationLong terme'!$D$105:$G$105</c:f>
              <c:numCache>
                <c:formatCode>_("$"* #,##0.00_);_("$"* \(#,##0.00\);_("$"* "-"??_);_(@_)</c:formatCode>
                <c:ptCount val="4"/>
                <c:pt idx="0">
                  <c:v>1000</c:v>
                </c:pt>
                <c:pt idx="3">
                  <c:v>1000</c:v>
                </c:pt>
              </c:numCache>
            </c:numRef>
          </c:val>
        </c:ser>
        <c:ser>
          <c:idx val="6"/>
          <c:order val="6"/>
          <c:tx>
            <c:strRef>
              <c:f>'Calculateur_LocationLong terme'!$C$106</c:f>
              <c:strCache>
                <c:ptCount val="1"/>
                <c:pt idx="0">
                  <c:v>Coût de la plaque</c:v>
                </c:pt>
              </c:strCache>
            </c:strRef>
          </c:tx>
          <c:spPr>
            <a:solidFill>
              <a:schemeClr val="accent1">
                <a:lumMod val="60000"/>
              </a:schemeClr>
            </a:solidFill>
            <a:ln>
              <a:noFill/>
            </a:ln>
            <a:effectLst/>
          </c:spPr>
          <c:invertIfNegative val="0"/>
          <c:cat>
            <c:strRef>
              <c:f>'Calculateur_LocationLong terme'!$D$99:$G$99</c:f>
              <c:strCache>
                <c:ptCount val="4"/>
                <c:pt idx="0">
                  <c:v>A</c:v>
                </c:pt>
                <c:pt idx="3">
                  <c:v>B</c:v>
                </c:pt>
              </c:strCache>
            </c:strRef>
          </c:cat>
          <c:val>
            <c:numRef>
              <c:f>'Calculateur_LocationLong terme'!$D$106:$G$106</c:f>
              <c:numCache>
                <c:formatCode>_("$"* #,##0.00_);_("$"* \(#,##0.00\);_("$"* "-"??_);_(@_)</c:formatCode>
                <c:ptCount val="4"/>
                <c:pt idx="0">
                  <c:v>50</c:v>
                </c:pt>
                <c:pt idx="3">
                  <c:v>50</c:v>
                </c:pt>
              </c:numCache>
            </c:numRef>
          </c:val>
        </c:ser>
        <c:ser>
          <c:idx val="7"/>
          <c:order val="7"/>
          <c:tx>
            <c:strRef>
              <c:f>'Calculateur_LocationLong terme'!$C$107</c:f>
              <c:strCache>
                <c:ptCount val="1"/>
                <c:pt idx="0">
                  <c:v>Coût de l'assurance-automobile</c:v>
                </c:pt>
              </c:strCache>
            </c:strRef>
          </c:tx>
          <c:spPr>
            <a:solidFill>
              <a:schemeClr val="accent2">
                <a:lumMod val="60000"/>
              </a:schemeClr>
            </a:solidFill>
            <a:ln>
              <a:noFill/>
            </a:ln>
            <a:effectLst/>
          </c:spPr>
          <c:invertIfNegative val="0"/>
          <c:cat>
            <c:strRef>
              <c:f>'Calculateur_LocationLong terme'!$D$99:$G$99</c:f>
              <c:strCache>
                <c:ptCount val="4"/>
                <c:pt idx="0">
                  <c:v>A</c:v>
                </c:pt>
                <c:pt idx="3">
                  <c:v>B</c:v>
                </c:pt>
              </c:strCache>
            </c:strRef>
          </c:cat>
          <c:val>
            <c:numRef>
              <c:f>'Calculateur_LocationLong terme'!$D$107:$G$107</c:f>
              <c:numCache>
                <c:formatCode>_("$"* #,##0.00_);_("$"* \(#,##0.00\);_("$"* "-"??_);_(@_)</c:formatCode>
                <c:ptCount val="4"/>
                <c:pt idx="0">
                  <c:v>100</c:v>
                </c:pt>
                <c:pt idx="3">
                  <c:v>100</c:v>
                </c:pt>
              </c:numCache>
            </c:numRef>
          </c:val>
        </c:ser>
        <c:ser>
          <c:idx val="8"/>
          <c:order val="8"/>
          <c:tx>
            <c:strRef>
              <c:f>'Calculateur_LocationLong terme'!$C$108</c:f>
              <c:strCache>
                <c:ptCount val="1"/>
                <c:pt idx="0">
                  <c:v>Frais d'adhésion à des associations automobile</c:v>
                </c:pt>
              </c:strCache>
            </c:strRef>
          </c:tx>
          <c:spPr>
            <a:solidFill>
              <a:schemeClr val="accent3">
                <a:lumMod val="60000"/>
              </a:schemeClr>
            </a:solidFill>
            <a:ln>
              <a:noFill/>
            </a:ln>
            <a:effectLst/>
          </c:spPr>
          <c:invertIfNegative val="0"/>
          <c:cat>
            <c:strRef>
              <c:f>'Calculateur_LocationLong terme'!$D$99:$G$99</c:f>
              <c:strCache>
                <c:ptCount val="4"/>
                <c:pt idx="0">
                  <c:v>A</c:v>
                </c:pt>
                <c:pt idx="3">
                  <c:v>B</c:v>
                </c:pt>
              </c:strCache>
            </c:strRef>
          </c:cat>
          <c:val>
            <c:numRef>
              <c:f>'Calculateur_LocationLong terme'!$D$108:$G$108</c:f>
              <c:numCache>
                <c:formatCode>_("$"* #,##0.00_);_("$"* \(#,##0.00\);_("$"* "-"??_);_(@_)</c:formatCode>
                <c:ptCount val="4"/>
                <c:pt idx="0">
                  <c:v>100</c:v>
                </c:pt>
                <c:pt idx="3">
                  <c:v>100</c:v>
                </c:pt>
              </c:numCache>
            </c:numRef>
          </c:val>
        </c:ser>
        <c:ser>
          <c:idx val="9"/>
          <c:order val="9"/>
          <c:tx>
            <c:strRef>
              <c:f>'Calculateur_LocationLong terme'!$C$109</c:f>
              <c:strCache>
                <c:ptCount val="1"/>
                <c:pt idx="0">
                  <c:v>Consommation énergétique</c:v>
                </c:pt>
              </c:strCache>
            </c:strRef>
          </c:tx>
          <c:spPr>
            <a:solidFill>
              <a:schemeClr val="accent4">
                <a:lumMod val="60000"/>
              </a:schemeClr>
            </a:solidFill>
            <a:ln>
              <a:noFill/>
            </a:ln>
            <a:effectLst/>
          </c:spPr>
          <c:invertIfNegative val="0"/>
          <c:cat>
            <c:strRef>
              <c:f>'Calculateur_LocationLong terme'!$D$99:$G$99</c:f>
              <c:strCache>
                <c:ptCount val="4"/>
                <c:pt idx="0">
                  <c:v>A</c:v>
                </c:pt>
                <c:pt idx="3">
                  <c:v>B</c:v>
                </c:pt>
              </c:strCache>
            </c:strRef>
          </c:cat>
          <c:val>
            <c:numRef>
              <c:f>'Calculateur_LocationLong terme'!$D$109:$G$109</c:f>
              <c:numCache>
                <c:formatCode>_("$"* #,##0.00_);_("$"* \(#,##0.00\);_("$"* "-"??_);_(@_)</c:formatCode>
                <c:ptCount val="4"/>
                <c:pt idx="0">
                  <c:v>601.59999999999991</c:v>
                </c:pt>
                <c:pt idx="3">
                  <c:v>1269.0000000000002</c:v>
                </c:pt>
              </c:numCache>
            </c:numRef>
          </c:val>
        </c:ser>
        <c:ser>
          <c:idx val="10"/>
          <c:order val="10"/>
          <c:tx>
            <c:strRef>
              <c:f>'Calculateur_LocationLong terme'!$C$110</c:f>
              <c:strCache>
                <c:ptCount val="1"/>
                <c:pt idx="0">
                  <c:v>Coût de maintenance</c:v>
                </c:pt>
              </c:strCache>
            </c:strRef>
          </c:tx>
          <c:spPr>
            <a:solidFill>
              <a:schemeClr val="accent5">
                <a:lumMod val="60000"/>
              </a:schemeClr>
            </a:solidFill>
            <a:ln>
              <a:noFill/>
            </a:ln>
            <a:effectLst/>
          </c:spPr>
          <c:invertIfNegative val="0"/>
          <c:cat>
            <c:strRef>
              <c:f>'Calculateur_LocationLong terme'!$D$99:$G$99</c:f>
              <c:strCache>
                <c:ptCount val="4"/>
                <c:pt idx="0">
                  <c:v>A</c:v>
                </c:pt>
                <c:pt idx="3">
                  <c:v>B</c:v>
                </c:pt>
              </c:strCache>
            </c:strRef>
          </c:cat>
          <c:val>
            <c:numRef>
              <c:f>'Calculateur_LocationLong terme'!$D$110:$G$110</c:f>
              <c:numCache>
                <c:formatCode>_("$"* #,##0.00_);_("$"* \(#,##0.00\);_("$"* "-"??_);_(@_)</c:formatCode>
                <c:ptCount val="4"/>
                <c:pt idx="0">
                  <c:v>200</c:v>
                </c:pt>
                <c:pt idx="3">
                  <c:v>200</c:v>
                </c:pt>
              </c:numCache>
            </c:numRef>
          </c:val>
        </c:ser>
        <c:ser>
          <c:idx val="11"/>
          <c:order val="11"/>
          <c:tx>
            <c:strRef>
              <c:f>'Calculateur_LocationLong terme'!$C$111</c:f>
              <c:strCache>
                <c:ptCount val="1"/>
                <c:pt idx="0">
                  <c:v>Coût de réparation</c:v>
                </c:pt>
              </c:strCache>
            </c:strRef>
          </c:tx>
          <c:spPr>
            <a:solidFill>
              <a:schemeClr val="accent6">
                <a:lumMod val="60000"/>
              </a:schemeClr>
            </a:solidFill>
            <a:ln>
              <a:noFill/>
            </a:ln>
            <a:effectLst/>
          </c:spPr>
          <c:invertIfNegative val="0"/>
          <c:cat>
            <c:strRef>
              <c:f>'Calculateur_LocationLong terme'!$D$99:$G$99</c:f>
              <c:strCache>
                <c:ptCount val="4"/>
                <c:pt idx="0">
                  <c:v>A</c:v>
                </c:pt>
                <c:pt idx="3">
                  <c:v>B</c:v>
                </c:pt>
              </c:strCache>
            </c:strRef>
          </c:cat>
          <c:val>
            <c:numRef>
              <c:f>'Calculateur_LocationLong terme'!$D$111:$G$111</c:f>
              <c:numCache>
                <c:formatCode>_("$"* #,##0.00_);_("$"* \(#,##0.00\);_("$"* "-"??_);_(@_)</c:formatCode>
                <c:ptCount val="4"/>
                <c:pt idx="0">
                  <c:v>500</c:v>
                </c:pt>
                <c:pt idx="3">
                  <c:v>500</c:v>
                </c:pt>
              </c:numCache>
            </c:numRef>
          </c:val>
        </c:ser>
        <c:ser>
          <c:idx val="12"/>
          <c:order val="12"/>
          <c:tx>
            <c:strRef>
              <c:f>'Calculateur_LocationLong terme'!$C$112</c:f>
              <c:strCache>
                <c:ptCount val="1"/>
                <c:pt idx="0">
                  <c:v>Coûts de perte de productivités (downtime)</c:v>
                </c:pt>
              </c:strCache>
            </c:strRef>
          </c:tx>
          <c:spPr>
            <a:solidFill>
              <a:schemeClr val="accent1">
                <a:lumMod val="80000"/>
                <a:lumOff val="20000"/>
              </a:schemeClr>
            </a:solidFill>
            <a:ln>
              <a:noFill/>
            </a:ln>
            <a:effectLst/>
          </c:spPr>
          <c:invertIfNegative val="0"/>
          <c:cat>
            <c:strRef>
              <c:f>'Calculateur_LocationLong terme'!$D$99:$G$99</c:f>
              <c:strCache>
                <c:ptCount val="4"/>
                <c:pt idx="0">
                  <c:v>A</c:v>
                </c:pt>
                <c:pt idx="3">
                  <c:v>B</c:v>
                </c:pt>
              </c:strCache>
            </c:strRef>
          </c:cat>
          <c:val>
            <c:numRef>
              <c:f>'Calculateur_LocationLong terme'!$D$112:$G$112</c:f>
              <c:numCache>
                <c:formatCode>_("$"* #,##0.00_);_("$"* \(#,##0.00\);_("$"* "-"??_);_(@_)</c:formatCode>
                <c:ptCount val="4"/>
                <c:pt idx="0">
                  <c:v>210</c:v>
                </c:pt>
                <c:pt idx="3">
                  <c:v>210</c:v>
                </c:pt>
              </c:numCache>
            </c:numRef>
          </c:val>
        </c:ser>
        <c:ser>
          <c:idx val="13"/>
          <c:order val="13"/>
          <c:tx>
            <c:strRef>
              <c:f>'Calculateur_LocationLong terme'!$C$113</c:f>
              <c:strCache>
                <c:ptCount val="1"/>
                <c:pt idx="0">
                  <c:v>Coûts divers annuels</c:v>
                </c:pt>
              </c:strCache>
            </c:strRef>
          </c:tx>
          <c:spPr>
            <a:solidFill>
              <a:schemeClr val="accent2">
                <a:lumMod val="80000"/>
                <a:lumOff val="20000"/>
              </a:schemeClr>
            </a:solidFill>
            <a:ln>
              <a:noFill/>
            </a:ln>
            <a:effectLst/>
          </c:spPr>
          <c:invertIfNegative val="0"/>
          <c:cat>
            <c:strRef>
              <c:f>'Calculateur_LocationLong terme'!$D$99:$G$99</c:f>
              <c:strCache>
                <c:ptCount val="4"/>
                <c:pt idx="0">
                  <c:v>A</c:v>
                </c:pt>
                <c:pt idx="3">
                  <c:v>B</c:v>
                </c:pt>
              </c:strCache>
            </c:strRef>
          </c:cat>
          <c:val>
            <c:numRef>
              <c:f>'Calculateur_LocationLong terme'!$D$113:$G$113</c:f>
              <c:numCache>
                <c:formatCode>_("$"* #,##0.00_);_("$"* \(#,##0.00\);_("$"* "-"??_);_(@_)</c:formatCode>
                <c:ptCount val="4"/>
                <c:pt idx="0">
                  <c:v>100</c:v>
                </c:pt>
                <c:pt idx="3">
                  <c:v>100</c:v>
                </c:pt>
              </c:numCache>
            </c:numRef>
          </c:val>
        </c:ser>
        <c:ser>
          <c:idx val="14"/>
          <c:order val="14"/>
          <c:tx>
            <c:strRef>
              <c:f>'Calculateur_LocationLong terme'!$C$114</c:f>
              <c:strCache>
                <c:ptCount val="1"/>
                <c:pt idx="0">
                  <c:v>Frais de reprise</c:v>
                </c:pt>
              </c:strCache>
            </c:strRef>
          </c:tx>
          <c:spPr>
            <a:solidFill>
              <a:schemeClr val="accent3">
                <a:lumMod val="80000"/>
                <a:lumOff val="20000"/>
              </a:schemeClr>
            </a:solidFill>
            <a:ln>
              <a:noFill/>
            </a:ln>
            <a:effectLst/>
          </c:spPr>
          <c:invertIfNegative val="0"/>
          <c:cat>
            <c:strRef>
              <c:f>'Calculateur_LocationLong terme'!$D$99:$G$99</c:f>
              <c:strCache>
                <c:ptCount val="4"/>
                <c:pt idx="0">
                  <c:v>A</c:v>
                </c:pt>
                <c:pt idx="3">
                  <c:v>B</c:v>
                </c:pt>
              </c:strCache>
            </c:strRef>
          </c:cat>
          <c:val>
            <c:numRef>
              <c:f>'Calculateur_LocationLong terme'!$D$114:$G$114</c:f>
              <c:numCache>
                <c:formatCode>General</c:formatCode>
                <c:ptCount val="4"/>
                <c:pt idx="0" formatCode="_-&quot;$&quot;* #,##0.0_-;\-&quot;$&quot;* #,##0.0_-;_-&quot;$&quot;* &quot;-&quot;??_-;_-@_-">
                  <c:v>100</c:v>
                </c:pt>
                <c:pt idx="3" formatCode="_-&quot;$&quot;* #,##0.0_-;\-&quot;$&quot;* #,##0.0_-;_-&quot;$&quot;* &quot;-&quot;??_-;_-@_-">
                  <c:v>100</c:v>
                </c:pt>
              </c:numCache>
            </c:numRef>
          </c:val>
        </c:ser>
        <c:dLbls>
          <c:showLegendKey val="0"/>
          <c:showVal val="0"/>
          <c:showCatName val="0"/>
          <c:showSerName val="0"/>
          <c:showPercent val="0"/>
          <c:showBubbleSize val="0"/>
        </c:dLbls>
        <c:gapWidth val="150"/>
        <c:overlap val="100"/>
        <c:axId val="320740392"/>
        <c:axId val="320740784"/>
      </c:barChart>
      <c:catAx>
        <c:axId val="320740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740784"/>
        <c:crosses val="autoZero"/>
        <c:auto val="1"/>
        <c:lblAlgn val="ctr"/>
        <c:lblOffset val="100"/>
        <c:noMultiLvlLbl val="0"/>
      </c:catAx>
      <c:valAx>
        <c:axId val="320740784"/>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740392"/>
        <c:crosses val="autoZero"/>
        <c:crossBetween val="between"/>
      </c:valAx>
      <c:spPr>
        <a:noFill/>
        <a:ln>
          <a:noFill/>
        </a:ln>
        <a:effectLst/>
      </c:spPr>
    </c:plotArea>
    <c:legend>
      <c:legendPos val="r"/>
      <c:layout>
        <c:manualLayout>
          <c:xMode val="edge"/>
          <c:yMode val="edge"/>
          <c:x val="0.65227263862839036"/>
          <c:y val="0.17118432129946021"/>
          <c:w val="0.33729905495183748"/>
          <c:h val="0.726813747338186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14917846234983E-2"/>
          <c:y val="4.0611810972805494E-2"/>
          <c:w val="0.47408428986789752"/>
          <c:h val="0.87374058326351511"/>
        </c:manualLayout>
      </c:layout>
      <c:barChart>
        <c:barDir val="col"/>
        <c:grouping val="stacked"/>
        <c:varyColors val="0"/>
        <c:ser>
          <c:idx val="0"/>
          <c:order val="0"/>
          <c:tx>
            <c:strRef>
              <c:f>'Calculateur_LocationCourt-terme'!$C$89</c:f>
              <c:strCache>
                <c:ptCount val="1"/>
                <c:pt idx="0">
                  <c:v>Coût de location</c:v>
                </c:pt>
              </c:strCache>
            </c:strRef>
          </c:tx>
          <c:spPr>
            <a:solidFill>
              <a:schemeClr val="accent1"/>
            </a:solidFill>
            <a:ln>
              <a:noFill/>
            </a:ln>
            <a:effectLst/>
          </c:spPr>
          <c:invertIfNegative val="0"/>
          <c:cat>
            <c:strRef>
              <c:f>'Calculateur_LocationCourt-terme'!$D$88:$G$88</c:f>
              <c:strCache>
                <c:ptCount val="4"/>
                <c:pt idx="0">
                  <c:v>A</c:v>
                </c:pt>
                <c:pt idx="3">
                  <c:v>B</c:v>
                </c:pt>
              </c:strCache>
            </c:strRef>
          </c:cat>
          <c:val>
            <c:numRef>
              <c:f>'Calculateur_LocationCourt-terme'!$D$89:$G$89</c:f>
              <c:numCache>
                <c:formatCode>_("$"* #,##0.00_);_("$"* \(#,##0.00\);_("$"* "-"??_);_(@_)</c:formatCode>
                <c:ptCount val="4"/>
                <c:pt idx="0">
                  <c:v>180</c:v>
                </c:pt>
                <c:pt idx="3">
                  <c:v>180</c:v>
                </c:pt>
              </c:numCache>
            </c:numRef>
          </c:val>
        </c:ser>
        <c:ser>
          <c:idx val="1"/>
          <c:order val="1"/>
          <c:tx>
            <c:strRef>
              <c:f>'Calculateur_LocationCourt-terme'!$C$90</c:f>
              <c:strCache>
                <c:ptCount val="1"/>
                <c:pt idx="0">
                  <c:v>Taxes</c:v>
                </c:pt>
              </c:strCache>
            </c:strRef>
          </c:tx>
          <c:spPr>
            <a:solidFill>
              <a:schemeClr val="accent2"/>
            </a:solidFill>
            <a:ln>
              <a:noFill/>
            </a:ln>
            <a:effectLst/>
          </c:spPr>
          <c:invertIfNegative val="0"/>
          <c:cat>
            <c:strRef>
              <c:f>'Calculateur_LocationCourt-terme'!$D$88:$G$88</c:f>
              <c:strCache>
                <c:ptCount val="4"/>
                <c:pt idx="0">
                  <c:v>A</c:v>
                </c:pt>
                <c:pt idx="3">
                  <c:v>B</c:v>
                </c:pt>
              </c:strCache>
            </c:strRef>
          </c:cat>
          <c:val>
            <c:numRef>
              <c:f>'Calculateur_LocationCourt-terme'!$D$90:$G$90</c:f>
              <c:numCache>
                <c:formatCode>_("$"* #,##0.00_);_("$"* \(#,##0.00\);_("$"* "-"??_);_(@_)</c:formatCode>
                <c:ptCount val="4"/>
                <c:pt idx="0">
                  <c:v>30</c:v>
                </c:pt>
                <c:pt idx="3">
                  <c:v>30</c:v>
                </c:pt>
              </c:numCache>
            </c:numRef>
          </c:val>
        </c:ser>
        <c:ser>
          <c:idx val="3"/>
          <c:order val="2"/>
          <c:tx>
            <c:strRef>
              <c:f>'Calculateur_LocationCourt-terme'!$C$91</c:f>
              <c:strCache>
                <c:ptCount val="1"/>
                <c:pt idx="0">
                  <c:v>Coût du kilométrage additionnel</c:v>
                </c:pt>
              </c:strCache>
            </c:strRef>
          </c:tx>
          <c:spPr>
            <a:solidFill>
              <a:schemeClr val="accent4"/>
            </a:solidFill>
            <a:ln>
              <a:noFill/>
            </a:ln>
            <a:effectLst/>
          </c:spPr>
          <c:invertIfNegative val="0"/>
          <c:cat>
            <c:strRef>
              <c:f>'Calculateur_LocationCourt-terme'!$D$88:$G$88</c:f>
              <c:strCache>
                <c:ptCount val="4"/>
                <c:pt idx="0">
                  <c:v>A</c:v>
                </c:pt>
                <c:pt idx="3">
                  <c:v>B</c:v>
                </c:pt>
              </c:strCache>
            </c:strRef>
          </c:cat>
          <c:val>
            <c:numRef>
              <c:f>'Calculateur_LocationCourt-terme'!$D$91:$G$91</c:f>
              <c:numCache>
                <c:formatCode>_("$"* #,##0.00_);_("$"* \(#,##0.00\);_("$"* "-"??_);_(@_)</c:formatCode>
                <c:ptCount val="4"/>
                <c:pt idx="0">
                  <c:v>25</c:v>
                </c:pt>
                <c:pt idx="3">
                  <c:v>25</c:v>
                </c:pt>
              </c:numCache>
            </c:numRef>
          </c:val>
        </c:ser>
        <c:ser>
          <c:idx val="6"/>
          <c:order val="3"/>
          <c:tx>
            <c:strRef>
              <c:f>'Calculateur_LocationCourt-terme'!$C$92</c:f>
              <c:strCache>
                <c:ptCount val="1"/>
                <c:pt idx="0">
                  <c:v>Coût de l'assurance-automobile</c:v>
                </c:pt>
              </c:strCache>
            </c:strRef>
          </c:tx>
          <c:spPr>
            <a:solidFill>
              <a:schemeClr val="accent1">
                <a:lumMod val="60000"/>
              </a:schemeClr>
            </a:solidFill>
            <a:ln>
              <a:noFill/>
            </a:ln>
            <a:effectLst/>
          </c:spPr>
          <c:invertIfNegative val="0"/>
          <c:cat>
            <c:strRef>
              <c:f>'Calculateur_LocationCourt-terme'!$D$88:$G$88</c:f>
              <c:strCache>
                <c:ptCount val="4"/>
                <c:pt idx="0">
                  <c:v>A</c:v>
                </c:pt>
                <c:pt idx="3">
                  <c:v>B</c:v>
                </c:pt>
              </c:strCache>
            </c:strRef>
          </c:cat>
          <c:val>
            <c:numRef>
              <c:f>'Calculateur_LocationCourt-terme'!$D$92:$G$92</c:f>
              <c:numCache>
                <c:formatCode>_("$"* #,##0.00_);_("$"* \(#,##0.00\);_("$"* "-"??_);_(@_)</c:formatCode>
                <c:ptCount val="4"/>
                <c:pt idx="0">
                  <c:v>50</c:v>
                </c:pt>
                <c:pt idx="3">
                  <c:v>50</c:v>
                </c:pt>
              </c:numCache>
            </c:numRef>
          </c:val>
        </c:ser>
        <c:ser>
          <c:idx val="8"/>
          <c:order val="4"/>
          <c:tx>
            <c:strRef>
              <c:f>'Calculateur_LocationCourt-terme'!$C$93</c:f>
              <c:strCache>
                <c:ptCount val="1"/>
                <c:pt idx="0">
                  <c:v>Consommation énergétique</c:v>
                </c:pt>
              </c:strCache>
            </c:strRef>
          </c:tx>
          <c:spPr>
            <a:solidFill>
              <a:schemeClr val="accent3">
                <a:lumMod val="60000"/>
              </a:schemeClr>
            </a:solidFill>
            <a:ln>
              <a:noFill/>
            </a:ln>
            <a:effectLst/>
          </c:spPr>
          <c:invertIfNegative val="0"/>
          <c:cat>
            <c:strRef>
              <c:f>'Calculateur_LocationCourt-terme'!$D$88:$G$88</c:f>
              <c:strCache>
                <c:ptCount val="4"/>
                <c:pt idx="0">
                  <c:v>A</c:v>
                </c:pt>
                <c:pt idx="3">
                  <c:v>B</c:v>
                </c:pt>
              </c:strCache>
            </c:strRef>
          </c:cat>
          <c:val>
            <c:numRef>
              <c:f>'Calculateur_LocationCourt-terme'!$D$93:$G$93</c:f>
              <c:numCache>
                <c:formatCode>_("$"* #,##0.00_);_("$"* \(#,##0.00\);_("$"* "-"??_);_(@_)</c:formatCode>
                <c:ptCount val="4"/>
                <c:pt idx="0">
                  <c:v>12.690000000000001</c:v>
                </c:pt>
                <c:pt idx="3">
                  <c:v>13.416</c:v>
                </c:pt>
              </c:numCache>
            </c:numRef>
          </c:val>
        </c:ser>
        <c:ser>
          <c:idx val="9"/>
          <c:order val="5"/>
          <c:tx>
            <c:strRef>
              <c:f>'Calculateur_LocationCourt-terme'!$C$94</c:f>
              <c:strCache>
                <c:ptCount val="1"/>
                <c:pt idx="0">
                  <c:v>Coûts divers</c:v>
                </c:pt>
              </c:strCache>
            </c:strRef>
          </c:tx>
          <c:spPr>
            <a:solidFill>
              <a:schemeClr val="accent4">
                <a:lumMod val="60000"/>
              </a:schemeClr>
            </a:solidFill>
            <a:ln>
              <a:noFill/>
            </a:ln>
            <a:effectLst/>
          </c:spPr>
          <c:invertIfNegative val="0"/>
          <c:cat>
            <c:strRef>
              <c:f>'Calculateur_LocationCourt-terme'!$D$88:$G$88</c:f>
              <c:strCache>
                <c:ptCount val="4"/>
                <c:pt idx="0">
                  <c:v>A</c:v>
                </c:pt>
                <c:pt idx="3">
                  <c:v>B</c:v>
                </c:pt>
              </c:strCache>
            </c:strRef>
          </c:cat>
          <c:val>
            <c:numRef>
              <c:f>'Calculateur_LocationCourt-terme'!$D$94:$G$94</c:f>
              <c:numCache>
                <c:formatCode>_("$"* #,##0.00_);_("$"* \(#,##0.00\);_("$"* "-"??_);_(@_)</c:formatCode>
                <c:ptCount val="4"/>
                <c:pt idx="0">
                  <c:v>100</c:v>
                </c:pt>
                <c:pt idx="3">
                  <c:v>100</c:v>
                </c:pt>
              </c:numCache>
            </c:numRef>
          </c:val>
        </c:ser>
        <c:ser>
          <c:idx val="10"/>
          <c:order val="6"/>
          <c:tx>
            <c:strRef>
              <c:f>'Calculateur_LocationCourt-terme'!$C$95</c:f>
              <c:strCache>
                <c:ptCount val="1"/>
                <c:pt idx="0">
                  <c:v>Pénalité de retard</c:v>
                </c:pt>
              </c:strCache>
            </c:strRef>
          </c:tx>
          <c:spPr>
            <a:solidFill>
              <a:schemeClr val="accent5">
                <a:lumMod val="60000"/>
              </a:schemeClr>
            </a:solidFill>
            <a:ln>
              <a:noFill/>
            </a:ln>
            <a:effectLst/>
          </c:spPr>
          <c:invertIfNegative val="0"/>
          <c:cat>
            <c:strRef>
              <c:f>'Calculateur_LocationCourt-terme'!$D$88:$G$88</c:f>
              <c:strCache>
                <c:ptCount val="4"/>
                <c:pt idx="0">
                  <c:v>A</c:v>
                </c:pt>
                <c:pt idx="3">
                  <c:v>B</c:v>
                </c:pt>
              </c:strCache>
            </c:strRef>
          </c:cat>
          <c:val>
            <c:numRef>
              <c:f>'Calculateur_LocationCourt-terme'!$D$95:$G$95</c:f>
              <c:numCache>
                <c:formatCode>General</c:formatCode>
                <c:ptCount val="4"/>
                <c:pt idx="0" formatCode="_-&quot;$&quot;* #,##0.0_-;\-&quot;$&quot;* #,##0.0_-;_-&quot;$&quot;* &quot;-&quot;??_-;_-@_-">
                  <c:v>20</c:v>
                </c:pt>
                <c:pt idx="3" formatCode="_-&quot;$&quot;* #,##0.0_-;\-&quot;$&quot;* #,##0.0_-;_-&quot;$&quot;* &quot;-&quot;??_-;_-@_-">
                  <c:v>20</c:v>
                </c:pt>
              </c:numCache>
            </c:numRef>
          </c:val>
        </c:ser>
        <c:dLbls>
          <c:showLegendKey val="0"/>
          <c:showVal val="0"/>
          <c:showCatName val="0"/>
          <c:showSerName val="0"/>
          <c:showPercent val="0"/>
          <c:showBubbleSize val="0"/>
        </c:dLbls>
        <c:gapWidth val="150"/>
        <c:overlap val="100"/>
        <c:axId val="320741568"/>
        <c:axId val="320741960"/>
      </c:barChart>
      <c:catAx>
        <c:axId val="320741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741960"/>
        <c:crosses val="autoZero"/>
        <c:auto val="1"/>
        <c:lblAlgn val="ctr"/>
        <c:lblOffset val="100"/>
        <c:noMultiLvlLbl val="0"/>
      </c:catAx>
      <c:valAx>
        <c:axId val="320741960"/>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20741568"/>
        <c:crosses val="autoZero"/>
        <c:crossBetween val="between"/>
      </c:valAx>
      <c:spPr>
        <a:noFill/>
        <a:ln>
          <a:noFill/>
        </a:ln>
        <a:effectLst/>
      </c:spPr>
    </c:plotArea>
    <c:legend>
      <c:legendPos val="r"/>
      <c:layout>
        <c:manualLayout>
          <c:xMode val="edge"/>
          <c:yMode val="edge"/>
          <c:x val="0.61234365892101783"/>
          <c:y val="0.15502664913895398"/>
          <c:w val="0.37412976897253902"/>
          <c:h val="0.741634461142026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4</xdr:col>
      <xdr:colOff>600075</xdr:colOff>
      <xdr:row>3</xdr:row>
      <xdr:rowOff>9525</xdr:rowOff>
    </xdr:to>
    <xdr:pic>
      <xdr:nvPicPr>
        <xdr:cNvPr id="73841" name="Image 1" descr="http://www.corporatif.gazmetro.com/Data/Images/logo-ecpar.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28235"/>
        <a:stretch>
          <a:fillRect/>
        </a:stretch>
      </xdr:blipFill>
      <xdr:spPr bwMode="auto">
        <a:xfrm>
          <a:off x="285750" y="0"/>
          <a:ext cx="2857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864053</xdr:colOff>
      <xdr:row>80</xdr:row>
      <xdr:rowOff>29935</xdr:rowOff>
    </xdr:from>
    <xdr:to>
      <xdr:col>6</xdr:col>
      <xdr:colOff>666750</xdr:colOff>
      <xdr:row>99</xdr:row>
      <xdr:rowOff>27214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353786</xdr:colOff>
      <xdr:row>74</xdr:row>
      <xdr:rowOff>370115</xdr:rowOff>
    </xdr:from>
    <xdr:to>
      <xdr:col>6</xdr:col>
      <xdr:colOff>748392</xdr:colOff>
      <xdr:row>95</xdr:row>
      <xdr:rowOff>108857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81643</xdr:colOff>
      <xdr:row>65</xdr:row>
      <xdr:rowOff>84364</xdr:rowOff>
    </xdr:from>
    <xdr:to>
      <xdr:col>5</xdr:col>
      <xdr:colOff>680356</xdr:colOff>
      <xdr:row>83</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hyperlink" Target="http://caa.ca/docs/fr/CAA_Driving_Costs_French.pdf" TargetMode="External"/><Relationship Id="rId1" Type="http://schemas.openxmlformats.org/officeDocument/2006/relationships/hyperlink" Target="http://publications.gc.ca/collections/collection_2013/rncan-nrcan/M141-5-2013-f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13"/>
  <sheetViews>
    <sheetView tabSelected="1" workbookViewId="0">
      <selection activeCell="G25" sqref="G25"/>
    </sheetView>
  </sheetViews>
  <sheetFormatPr defaultColWidth="11.42578125" defaultRowHeight="15" x14ac:dyDescent="0.25"/>
  <cols>
    <col min="1" max="1" width="3.85546875" customWidth="1"/>
  </cols>
  <sheetData>
    <row r="4" spans="2:16" ht="15" customHeight="1" x14ac:dyDescent="0.25">
      <c r="B4" s="321" t="s">
        <v>30</v>
      </c>
      <c r="C4" s="321"/>
      <c r="D4" s="321"/>
      <c r="E4" s="321"/>
      <c r="F4" s="321"/>
      <c r="G4" s="321"/>
      <c r="H4" s="321"/>
      <c r="I4" s="321"/>
      <c r="J4" s="321"/>
      <c r="K4" s="321"/>
      <c r="L4" s="321"/>
      <c r="M4" s="321"/>
      <c r="N4" s="321"/>
      <c r="O4" s="321"/>
      <c r="P4" s="321"/>
    </row>
    <row r="5" spans="2:16" x14ac:dyDescent="0.25">
      <c r="B5" s="321"/>
      <c r="C5" s="321"/>
      <c r="D5" s="321"/>
      <c r="E5" s="321"/>
      <c r="F5" s="321"/>
      <c r="G5" s="321"/>
      <c r="H5" s="321"/>
      <c r="I5" s="321"/>
      <c r="J5" s="321"/>
      <c r="K5" s="321"/>
      <c r="L5" s="321"/>
      <c r="M5" s="321"/>
      <c r="N5" s="321"/>
      <c r="O5" s="321"/>
      <c r="P5" s="321"/>
    </row>
    <row r="6" spans="2:16" x14ac:dyDescent="0.25">
      <c r="B6" s="321"/>
      <c r="C6" s="321"/>
      <c r="D6" s="321"/>
      <c r="E6" s="321"/>
      <c r="F6" s="321"/>
      <c r="G6" s="321"/>
      <c r="H6" s="321"/>
      <c r="I6" s="321"/>
      <c r="J6" s="321"/>
      <c r="K6" s="321"/>
      <c r="L6" s="321"/>
      <c r="M6" s="321"/>
      <c r="N6" s="321"/>
      <c r="O6" s="321"/>
      <c r="P6" s="321"/>
    </row>
    <row r="7" spans="2:16" x14ac:dyDescent="0.25">
      <c r="B7" s="321"/>
      <c r="C7" s="321"/>
      <c r="D7" s="321"/>
      <c r="E7" s="321"/>
      <c r="F7" s="321"/>
      <c r="G7" s="321"/>
      <c r="H7" s="321"/>
      <c r="I7" s="321"/>
      <c r="J7" s="321"/>
      <c r="K7" s="321"/>
      <c r="L7" s="321"/>
      <c r="M7" s="321"/>
      <c r="N7" s="321"/>
      <c r="O7" s="321"/>
      <c r="P7" s="321"/>
    </row>
    <row r="8" spans="2:16" x14ac:dyDescent="0.25">
      <c r="B8" s="63"/>
      <c r="C8" s="63"/>
      <c r="D8" s="63"/>
      <c r="E8" s="63"/>
      <c r="F8" s="63"/>
      <c r="G8" s="63"/>
      <c r="H8" s="63"/>
      <c r="I8" s="63"/>
      <c r="J8" s="63"/>
      <c r="K8" s="63"/>
      <c r="L8" s="63"/>
      <c r="M8" s="63"/>
      <c r="N8" s="63"/>
      <c r="O8" s="63"/>
      <c r="P8" s="63"/>
    </row>
    <row r="9" spans="2:16" ht="17.25" customHeight="1" x14ac:dyDescent="0.25">
      <c r="B9" s="322" t="s">
        <v>31</v>
      </c>
      <c r="C9" s="322"/>
      <c r="D9" s="63"/>
      <c r="E9" s="63"/>
      <c r="F9" s="63"/>
      <c r="G9" s="63"/>
      <c r="H9" s="63"/>
      <c r="I9" s="63"/>
      <c r="J9" s="63"/>
      <c r="K9" s="63"/>
      <c r="L9" s="63"/>
      <c r="M9" s="63"/>
      <c r="N9" s="63"/>
      <c r="O9" s="63"/>
      <c r="P9" s="63"/>
    </row>
    <row r="10" spans="2:16" ht="49.5" customHeight="1" x14ac:dyDescent="0.25">
      <c r="B10" s="323" t="s">
        <v>32</v>
      </c>
      <c r="C10" s="323"/>
      <c r="D10" s="323"/>
      <c r="E10" s="323"/>
      <c r="F10" s="323"/>
      <c r="G10" s="323"/>
      <c r="H10" s="323"/>
      <c r="I10" s="323"/>
      <c r="J10" s="323"/>
      <c r="K10" s="323"/>
      <c r="L10" s="323"/>
      <c r="M10" s="323"/>
      <c r="N10" s="323"/>
      <c r="O10" s="323"/>
      <c r="P10" s="323"/>
    </row>
    <row r="12" spans="2:16" x14ac:dyDescent="0.25">
      <c r="B12" s="64" t="s">
        <v>33</v>
      </c>
    </row>
    <row r="13" spans="2:16" x14ac:dyDescent="0.25">
      <c r="B13" t="s">
        <v>34</v>
      </c>
    </row>
  </sheetData>
  <mergeCells count="3">
    <mergeCell ref="B4:P7"/>
    <mergeCell ref="B9:C9"/>
    <mergeCell ref="B10:P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1"/>
  <sheetViews>
    <sheetView zoomScale="85" zoomScaleNormal="85" workbookViewId="0">
      <selection activeCell="H9" sqref="H9"/>
    </sheetView>
  </sheetViews>
  <sheetFormatPr defaultColWidth="11.42578125" defaultRowHeight="15" x14ac:dyDescent="0.25"/>
  <cols>
    <col min="1" max="1" width="9.140625" customWidth="1"/>
    <col min="2" max="2" width="21.5703125" customWidth="1"/>
    <col min="3" max="3" width="50.7109375" customWidth="1"/>
    <col min="4" max="4" width="18.42578125" bestFit="1" customWidth="1"/>
    <col min="5" max="5" width="20.140625" customWidth="1"/>
    <col min="6" max="7" width="9.140625" customWidth="1"/>
    <col min="8" max="8" width="20.140625" customWidth="1"/>
  </cols>
  <sheetData>
    <row r="1" spans="2:8" ht="15.75" thickBot="1" x14ac:dyDescent="0.3"/>
    <row r="2" spans="2:8" ht="45.75" customHeight="1" thickBot="1" x14ac:dyDescent="0.3">
      <c r="B2" s="324" t="s">
        <v>88</v>
      </c>
      <c r="C2" s="325"/>
    </row>
    <row r="3" spans="2:8" ht="45" customHeight="1" thickBot="1" x14ac:dyDescent="0.3">
      <c r="B3" s="114">
        <v>1</v>
      </c>
      <c r="C3" s="166" t="s">
        <v>130</v>
      </c>
    </row>
    <row r="4" spans="2:8" ht="45" customHeight="1" thickBot="1" x14ac:dyDescent="0.3">
      <c r="B4" s="114">
        <v>2</v>
      </c>
      <c r="C4" s="61" t="s">
        <v>27</v>
      </c>
      <c r="D4" s="7" t="s">
        <v>4</v>
      </c>
      <c r="E4" s="2" t="s">
        <v>5</v>
      </c>
    </row>
    <row r="5" spans="2:8" ht="30.75" thickBot="1" x14ac:dyDescent="0.3">
      <c r="B5" s="114">
        <v>3</v>
      </c>
      <c r="C5" s="168" t="s">
        <v>129</v>
      </c>
      <c r="D5" s="3"/>
      <c r="E5" s="58"/>
      <c r="F5" s="59"/>
      <c r="G5" s="59"/>
    </row>
    <row r="6" spans="2:8" ht="24.75" customHeight="1" thickBot="1" x14ac:dyDescent="0.3">
      <c r="B6" s="114">
        <v>4</v>
      </c>
      <c r="C6" s="170" t="s">
        <v>86</v>
      </c>
      <c r="D6" s="3"/>
      <c r="E6" s="58"/>
      <c r="F6" s="59"/>
      <c r="G6" s="59"/>
    </row>
    <row r="7" spans="2:8" ht="45.75" thickBot="1" x14ac:dyDescent="0.3">
      <c r="B7" s="114">
        <v>5</v>
      </c>
      <c r="C7" s="170" t="s">
        <v>151</v>
      </c>
      <c r="D7" s="3"/>
      <c r="E7" s="58"/>
      <c r="F7" s="59"/>
      <c r="G7" s="59"/>
    </row>
    <row r="8" spans="2:8" ht="54.75" customHeight="1" thickBot="1" x14ac:dyDescent="0.3">
      <c r="B8" s="114">
        <v>6</v>
      </c>
      <c r="C8" s="170" t="s">
        <v>28</v>
      </c>
      <c r="D8" s="3"/>
      <c r="E8" s="19"/>
      <c r="F8" s="59"/>
      <c r="G8" s="59"/>
    </row>
    <row r="9" spans="2:8" ht="104.25" customHeight="1" thickBot="1" x14ac:dyDescent="0.3">
      <c r="B9" s="114">
        <v>7</v>
      </c>
      <c r="C9" s="170" t="s">
        <v>110</v>
      </c>
      <c r="D9" s="3"/>
      <c r="E9" s="19"/>
      <c r="F9" s="59"/>
      <c r="G9" s="59"/>
    </row>
    <row r="10" spans="2:8" ht="30.75" thickBot="1" x14ac:dyDescent="0.3">
      <c r="B10" s="114">
        <v>8</v>
      </c>
      <c r="C10" s="170" t="s">
        <v>26</v>
      </c>
      <c r="D10" s="3"/>
      <c r="E10" s="19"/>
      <c r="F10" s="59"/>
      <c r="G10" s="60"/>
    </row>
    <row r="11" spans="2:8" ht="39" customHeight="1" thickBot="1" x14ac:dyDescent="0.3">
      <c r="B11" s="114">
        <v>9</v>
      </c>
      <c r="C11" s="169" t="s">
        <v>87</v>
      </c>
      <c r="D11" s="3"/>
      <c r="E11" s="58"/>
      <c r="F11" s="59"/>
      <c r="G11" s="60"/>
    </row>
    <row r="12" spans="2:8" ht="45" customHeight="1" thickBot="1" x14ac:dyDescent="0.3">
      <c r="B12" s="167">
        <v>10</v>
      </c>
      <c r="C12" s="62" t="s">
        <v>29</v>
      </c>
      <c r="D12" s="3"/>
      <c r="E12" s="3"/>
      <c r="G12" s="1"/>
      <c r="H12" s="1"/>
    </row>
    <row r="13" spans="2:8" x14ac:dyDescent="0.25">
      <c r="B13" s="3"/>
      <c r="C13" s="3"/>
      <c r="D13" s="3"/>
      <c r="E13" s="3"/>
    </row>
    <row r="14" spans="2:8" x14ac:dyDescent="0.25">
      <c r="B14" s="3"/>
      <c r="C14" s="3"/>
      <c r="D14" s="3"/>
      <c r="E14" s="3"/>
    </row>
    <row r="15" spans="2:8" x14ac:dyDescent="0.25">
      <c r="B15" s="3"/>
      <c r="C15" s="3"/>
      <c r="D15" s="3"/>
      <c r="E15" s="3"/>
    </row>
    <row r="16" spans="2:8" x14ac:dyDescent="0.25">
      <c r="B16" s="3"/>
      <c r="C16" s="3"/>
      <c r="D16" s="3"/>
      <c r="E16" s="3"/>
    </row>
    <row r="17" spans="2:5" x14ac:dyDescent="0.25">
      <c r="B17" s="3"/>
      <c r="C17" s="3"/>
      <c r="D17" s="3"/>
      <c r="E17" s="3"/>
    </row>
    <row r="18" spans="2:5" x14ac:dyDescent="0.25">
      <c r="B18" s="3"/>
      <c r="C18" s="3"/>
      <c r="D18" s="3"/>
      <c r="E18" s="3"/>
    </row>
    <row r="19" spans="2:5" x14ac:dyDescent="0.25">
      <c r="B19" s="3"/>
      <c r="C19" s="3"/>
      <c r="D19" s="3"/>
      <c r="E19" s="3"/>
    </row>
    <row r="20" spans="2:5" x14ac:dyDescent="0.25">
      <c r="B20" s="3"/>
      <c r="C20" s="3"/>
      <c r="D20" s="3"/>
      <c r="E20" s="3"/>
    </row>
    <row r="21" spans="2:5" x14ac:dyDescent="0.25">
      <c r="B21" s="3"/>
      <c r="C21" s="3"/>
      <c r="D21" s="3"/>
      <c r="E21" s="3"/>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164"/>
  <sheetViews>
    <sheetView topLeftCell="I60" zoomScale="55" zoomScaleNormal="55" workbookViewId="0">
      <selection activeCell="V85" sqref="V85"/>
    </sheetView>
  </sheetViews>
  <sheetFormatPr defaultColWidth="11.42578125" defaultRowHeight="15" x14ac:dyDescent="0.25"/>
  <cols>
    <col min="1" max="1" width="1.140625" style="11" customWidth="1"/>
    <col min="2" max="2" width="13.28515625" style="11" customWidth="1"/>
    <col min="3" max="3" width="49.7109375" style="11" customWidth="1"/>
    <col min="4" max="4" width="14.5703125" style="12" customWidth="1"/>
    <col min="5" max="5" width="0.5703125" style="16" customWidth="1"/>
    <col min="6" max="6" width="14.140625" style="12" customWidth="1"/>
    <col min="7" max="7" width="28.7109375" style="12" customWidth="1"/>
    <col min="8" max="9" width="18.7109375" style="11" customWidth="1"/>
    <col min="10" max="10" width="16.7109375" style="11" customWidth="1"/>
    <col min="11" max="11" width="14.28515625" style="11" bestFit="1" customWidth="1"/>
    <col min="12" max="12" width="15.85546875" style="11" customWidth="1"/>
    <col min="13" max="13" width="51.7109375" style="11" customWidth="1"/>
    <col min="14" max="14" width="19.28515625" style="11" customWidth="1"/>
    <col min="15" max="15" width="0.7109375" style="16" customWidth="1"/>
    <col min="16" max="16" width="17.7109375" style="11" customWidth="1"/>
    <col min="17" max="17" width="33.28515625" style="11" customWidth="1"/>
    <col min="18" max="18" width="25.28515625" style="11" customWidth="1"/>
    <col min="19" max="19" width="19.28515625" style="11" customWidth="1"/>
    <col min="20" max="20" width="16.28515625" style="11" customWidth="1"/>
    <col min="21" max="21" width="11.42578125" style="11"/>
    <col min="22" max="22" width="18.140625" style="11" customWidth="1"/>
    <col min="23" max="16384" width="11.42578125" style="11"/>
  </cols>
  <sheetData>
    <row r="1" spans="2:24" ht="5.25" customHeight="1" thickBot="1" x14ac:dyDescent="0.3"/>
    <row r="2" spans="2:24" ht="15.75" thickBot="1" x14ac:dyDescent="0.3">
      <c r="C2" s="13" t="s">
        <v>35</v>
      </c>
      <c r="D2" s="14"/>
      <c r="E2" s="309"/>
      <c r="F2" s="14"/>
      <c r="G2" s="14"/>
      <c r="H2" s="15"/>
      <c r="I2" s="15"/>
      <c r="J2" s="15"/>
      <c r="K2" s="15"/>
      <c r="L2" s="15"/>
      <c r="M2" s="15"/>
      <c r="N2" s="15"/>
      <c r="O2" s="299"/>
    </row>
    <row r="3" spans="2:24" x14ac:dyDescent="0.25">
      <c r="C3" s="11" t="s">
        <v>24</v>
      </c>
    </row>
    <row r="4" spans="2:24" ht="5.25" customHeight="1" x14ac:dyDescent="0.25"/>
    <row r="5" spans="2:24" ht="15.75" thickBot="1" x14ac:dyDescent="0.3">
      <c r="C5" s="11" t="s">
        <v>1</v>
      </c>
      <c r="D5" s="12" t="s">
        <v>36</v>
      </c>
    </row>
    <row r="6" spans="2:24" ht="15.75" thickBot="1" x14ac:dyDescent="0.3">
      <c r="C6" s="11" t="s">
        <v>2</v>
      </c>
      <c r="D6" s="17">
        <v>20000</v>
      </c>
      <c r="F6" s="12" t="s">
        <v>37</v>
      </c>
    </row>
    <row r="7" spans="2:24" ht="15.75" thickBot="1" x14ac:dyDescent="0.3"/>
    <row r="8" spans="2:24" ht="15.75" thickBot="1" x14ac:dyDescent="0.3">
      <c r="C8" s="16" t="s">
        <v>3</v>
      </c>
      <c r="G8" s="17" t="s">
        <v>4</v>
      </c>
    </row>
    <row r="9" spans="2:24" ht="15.75" thickBot="1" x14ac:dyDescent="0.3">
      <c r="G9" s="18" t="s">
        <v>5</v>
      </c>
    </row>
    <row r="10" spans="2:24" ht="15.75" thickBot="1" x14ac:dyDescent="0.3">
      <c r="L10" s="19"/>
      <c r="M10" s="19"/>
      <c r="N10" s="19"/>
      <c r="O10" s="29"/>
      <c r="P10" s="19"/>
      <c r="Q10" s="19"/>
      <c r="R10" s="19"/>
      <c r="S10" s="19"/>
      <c r="T10" s="19"/>
      <c r="U10" s="19"/>
      <c r="V10" s="19"/>
      <c r="W10" s="19"/>
      <c r="X10" s="19"/>
    </row>
    <row r="11" spans="2:24" ht="15.75" thickBot="1" x14ac:dyDescent="0.3">
      <c r="C11" s="43" t="s">
        <v>38</v>
      </c>
      <c r="D11" s="12" t="s">
        <v>12</v>
      </c>
      <c r="G11" s="68">
        <v>1</v>
      </c>
      <c r="H11" s="11" t="s">
        <v>62</v>
      </c>
      <c r="M11" s="43" t="s">
        <v>39</v>
      </c>
      <c r="N11" s="12" t="s">
        <v>12</v>
      </c>
      <c r="P11" s="12"/>
      <c r="Q11" s="68">
        <v>1</v>
      </c>
      <c r="R11" s="11" t="s">
        <v>62</v>
      </c>
      <c r="U11" s="19"/>
      <c r="V11" s="19"/>
      <c r="W11" s="19"/>
      <c r="X11" s="19"/>
    </row>
    <row r="12" spans="2:24" ht="15.75" thickBot="1" x14ac:dyDescent="0.3">
      <c r="C12" s="20" t="s">
        <v>72</v>
      </c>
      <c r="D12" s="85"/>
      <c r="E12" s="300"/>
      <c r="F12" s="85"/>
      <c r="G12" s="4" t="s">
        <v>67</v>
      </c>
      <c r="M12" s="20" t="s">
        <v>72</v>
      </c>
      <c r="N12" s="85"/>
      <c r="O12" s="300"/>
      <c r="P12" s="85"/>
      <c r="Q12" s="4" t="s">
        <v>69</v>
      </c>
      <c r="U12" s="19"/>
      <c r="V12" s="19"/>
      <c r="W12" s="19"/>
      <c r="X12" s="19"/>
    </row>
    <row r="13" spans="2:24" ht="15.75" thickBot="1" x14ac:dyDescent="0.3">
      <c r="C13" s="20" t="s">
        <v>55</v>
      </c>
      <c r="D13" s="21"/>
      <c r="E13" s="300"/>
      <c r="F13" s="21"/>
      <c r="G13" s="88">
        <f>D6</f>
        <v>20000</v>
      </c>
      <c r="H13" s="12" t="s">
        <v>37</v>
      </c>
      <c r="I13" s="12"/>
      <c r="J13" s="22"/>
      <c r="M13" s="20" t="s">
        <v>55</v>
      </c>
      <c r="N13" s="21"/>
      <c r="O13" s="300"/>
      <c r="P13" s="21"/>
      <c r="Q13" s="88">
        <f>D6</f>
        <v>20000</v>
      </c>
      <c r="R13" s="12" t="s">
        <v>37</v>
      </c>
      <c r="S13" s="12"/>
      <c r="T13" s="22"/>
      <c r="U13" s="19"/>
      <c r="V13" s="19"/>
      <c r="W13" s="19"/>
      <c r="X13" s="19"/>
    </row>
    <row r="14" spans="2:24" ht="15.75" thickBot="1" x14ac:dyDescent="0.3">
      <c r="C14" s="20" t="s">
        <v>50</v>
      </c>
      <c r="D14" s="21"/>
      <c r="E14" s="300"/>
      <c r="F14" s="21"/>
      <c r="G14" s="56">
        <v>5</v>
      </c>
      <c r="H14" s="22" t="s">
        <v>40</v>
      </c>
      <c r="I14" s="12"/>
      <c r="M14" s="20" t="s">
        <v>50</v>
      </c>
      <c r="N14" s="21"/>
      <c r="O14" s="300"/>
      <c r="P14" s="21"/>
      <c r="Q14" s="56">
        <v>5</v>
      </c>
      <c r="R14" s="22" t="s">
        <v>40</v>
      </c>
      <c r="S14" s="12"/>
      <c r="U14" s="19"/>
      <c r="V14" s="19"/>
      <c r="W14" s="19"/>
      <c r="X14" s="19"/>
    </row>
    <row r="15" spans="2:24" ht="29.25" customHeight="1" thickBot="1" x14ac:dyDescent="0.3">
      <c r="B15" s="23" t="s">
        <v>6</v>
      </c>
      <c r="C15" s="326" t="s">
        <v>13</v>
      </c>
      <c r="D15" s="327"/>
      <c r="E15" s="327"/>
      <c r="F15" s="327"/>
      <c r="G15" s="328"/>
      <c r="H15" s="158" t="s">
        <v>57</v>
      </c>
      <c r="I15" s="81" t="s">
        <v>56</v>
      </c>
      <c r="J15" s="25" t="s">
        <v>15</v>
      </c>
      <c r="L15" s="23" t="s">
        <v>6</v>
      </c>
      <c r="M15" s="326" t="s">
        <v>13</v>
      </c>
      <c r="N15" s="327"/>
      <c r="O15" s="327"/>
      <c r="P15" s="327"/>
      <c r="Q15" s="328"/>
      <c r="R15" s="162" t="s">
        <v>57</v>
      </c>
      <c r="S15" s="81" t="s">
        <v>56</v>
      </c>
      <c r="T15" s="154" t="s">
        <v>15</v>
      </c>
      <c r="U15" s="30"/>
      <c r="V15" s="340" t="s">
        <v>152</v>
      </c>
      <c r="W15" s="341"/>
      <c r="X15" s="19"/>
    </row>
    <row r="16" spans="2:24" ht="17.25" customHeight="1" thickBot="1" x14ac:dyDescent="0.3">
      <c r="B16" s="76"/>
      <c r="C16" s="77"/>
      <c r="D16" s="65"/>
      <c r="E16" s="301"/>
      <c r="F16" s="78" t="s">
        <v>51</v>
      </c>
      <c r="G16" s="24"/>
      <c r="H16" s="159"/>
      <c r="I16" s="160"/>
      <c r="J16" s="161"/>
      <c r="L16" s="76"/>
      <c r="M16" s="77"/>
      <c r="N16" s="67"/>
      <c r="O16" s="301"/>
      <c r="P16" s="78" t="s">
        <v>51</v>
      </c>
      <c r="Q16" s="24"/>
      <c r="R16" s="159"/>
      <c r="S16" s="160"/>
      <c r="T16" s="161"/>
      <c r="U16" s="30"/>
      <c r="V16" s="347"/>
      <c r="W16" s="342"/>
      <c r="X16" s="19"/>
    </row>
    <row r="17" spans="2:26" ht="30.75" customHeight="1" thickBot="1" x14ac:dyDescent="0.3">
      <c r="B17" s="329" t="s">
        <v>25</v>
      </c>
      <c r="C17" s="186" t="s">
        <v>111</v>
      </c>
      <c r="D17" s="41">
        <v>15000</v>
      </c>
      <c r="E17" s="281"/>
      <c r="F17" s="71"/>
      <c r="G17" s="44"/>
      <c r="H17" s="155">
        <f>D17/$G$14</f>
        <v>3000</v>
      </c>
      <c r="I17" s="156">
        <f>D17/($G$14*$G$13)</f>
        <v>0.15</v>
      </c>
      <c r="J17" s="157">
        <f>H17/$H$79</f>
        <v>0.43010752688172044</v>
      </c>
      <c r="K17" s="84"/>
      <c r="L17" s="329" t="s">
        <v>25</v>
      </c>
      <c r="M17" s="186" t="s">
        <v>111</v>
      </c>
      <c r="N17" s="41">
        <v>17000</v>
      </c>
      <c r="O17" s="281"/>
      <c r="P17" s="71"/>
      <c r="Q17" s="44"/>
      <c r="R17" s="155">
        <f>N17/$Q$14</f>
        <v>3400</v>
      </c>
      <c r="S17" s="156">
        <f>N17/($Q$14*$Q$13)</f>
        <v>0.17</v>
      </c>
      <c r="T17" s="157">
        <f>R17/$R$79</f>
        <v>0.44648719632304662</v>
      </c>
      <c r="U17" s="332"/>
      <c r="V17" s="333">
        <f>H17-R17</f>
        <v>-400</v>
      </c>
      <c r="W17" s="343" t="s">
        <v>111</v>
      </c>
      <c r="X17" s="250"/>
      <c r="Y17" s="27"/>
      <c r="Z17" s="27"/>
    </row>
    <row r="18" spans="2:26" ht="15.75" thickBot="1" x14ac:dyDescent="0.3">
      <c r="B18" s="330"/>
      <c r="C18" s="185" t="s">
        <v>99</v>
      </c>
      <c r="D18" s="41">
        <v>2000</v>
      </c>
      <c r="E18" s="282"/>
      <c r="F18" s="72"/>
      <c r="G18" s="132"/>
      <c r="H18" s="141">
        <f>D18/$G$14</f>
        <v>400</v>
      </c>
      <c r="I18" s="57">
        <f>D18/($G$14*$G$13)</f>
        <v>0.02</v>
      </c>
      <c r="J18" s="157">
        <f t="shared" ref="J18:J24" si="0">H18/$H$79</f>
        <v>5.7347670250896057E-2</v>
      </c>
      <c r="K18" s="84"/>
      <c r="L18" s="330"/>
      <c r="M18" s="185" t="s">
        <v>99</v>
      </c>
      <c r="N18" s="41">
        <v>2000</v>
      </c>
      <c r="O18" s="282"/>
      <c r="P18" s="72"/>
      <c r="Q18" s="132"/>
      <c r="R18" s="155">
        <f>N18/$Q$14</f>
        <v>400</v>
      </c>
      <c r="S18" s="57">
        <f>N18/($Q$14*$Q$13)</f>
        <v>0.02</v>
      </c>
      <c r="T18" s="157">
        <f t="shared" ref="T18:T24" si="1">R18/$R$79</f>
        <v>5.2527905449770193E-2</v>
      </c>
      <c r="U18" s="19"/>
      <c r="V18" s="334">
        <f t="shared" ref="V18:V24" si="2">H18-R18</f>
        <v>0</v>
      </c>
      <c r="W18" s="19" t="s">
        <v>99</v>
      </c>
      <c r="X18" s="250"/>
      <c r="Y18" s="27"/>
      <c r="Z18" s="27"/>
    </row>
    <row r="19" spans="2:26" ht="15.75" thickBot="1" x14ac:dyDescent="0.3">
      <c r="B19" s="331"/>
      <c r="C19" s="252" t="s">
        <v>143</v>
      </c>
      <c r="D19" s="41">
        <v>130</v>
      </c>
      <c r="E19" s="282"/>
      <c r="F19" s="72"/>
      <c r="G19" s="132"/>
      <c r="H19" s="141">
        <f>D19/$G$14</f>
        <v>26</v>
      </c>
      <c r="I19" s="57">
        <f t="shared" ref="I19:I20" si="3">D19/($G$14*$G$13)</f>
        <v>1.2999999999999999E-3</v>
      </c>
      <c r="J19" s="157">
        <f t="shared" si="0"/>
        <v>3.7275985663082437E-3</v>
      </c>
      <c r="K19" s="84"/>
      <c r="L19" s="331"/>
      <c r="M19" s="252" t="s">
        <v>143</v>
      </c>
      <c r="N19" s="41">
        <v>130</v>
      </c>
      <c r="O19" s="282"/>
      <c r="P19" s="72"/>
      <c r="Q19" s="132"/>
      <c r="R19" s="141">
        <f>N19/$Q$14</f>
        <v>26</v>
      </c>
      <c r="S19" s="57">
        <f t="shared" ref="S19:S20" si="4">N19/($Q$14*$Q$13)</f>
        <v>1.2999999999999999E-3</v>
      </c>
      <c r="T19" s="157">
        <f t="shared" si="1"/>
        <v>3.4143138542350624E-3</v>
      </c>
      <c r="U19" s="268"/>
      <c r="V19" s="334">
        <f t="shared" si="2"/>
        <v>0</v>
      </c>
      <c r="W19" s="268" t="s">
        <v>143</v>
      </c>
      <c r="X19" s="250"/>
      <c r="Y19" s="27"/>
      <c r="Z19" s="27"/>
    </row>
    <row r="20" spans="2:26" ht="15.75" thickBot="1" x14ac:dyDescent="0.3">
      <c r="B20" s="35" t="s">
        <v>122</v>
      </c>
      <c r="C20" s="185" t="s">
        <v>123</v>
      </c>
      <c r="D20" s="41">
        <v>1900</v>
      </c>
      <c r="E20" s="282"/>
      <c r="F20" s="72"/>
      <c r="G20" s="132"/>
      <c r="H20" s="141">
        <f>D20/$G$14</f>
        <v>380</v>
      </c>
      <c r="I20" s="57">
        <f t="shared" si="3"/>
        <v>1.9E-2</v>
      </c>
      <c r="J20" s="157">
        <f t="shared" si="0"/>
        <v>5.4480286738351258E-2</v>
      </c>
      <c r="K20" s="84"/>
      <c r="L20" s="35" t="s">
        <v>122</v>
      </c>
      <c r="M20" s="185" t="s">
        <v>123</v>
      </c>
      <c r="N20" s="41">
        <v>1900</v>
      </c>
      <c r="O20" s="282"/>
      <c r="P20" s="72"/>
      <c r="Q20" s="132"/>
      <c r="R20" s="141">
        <f>N20/$Q$14</f>
        <v>380</v>
      </c>
      <c r="S20" s="57">
        <f t="shared" si="4"/>
        <v>1.9E-2</v>
      </c>
      <c r="T20" s="157">
        <f t="shared" si="1"/>
        <v>4.9901510177281679E-2</v>
      </c>
      <c r="U20" s="191"/>
      <c r="V20" s="334">
        <f t="shared" si="2"/>
        <v>0</v>
      </c>
      <c r="W20" s="191" t="s">
        <v>123</v>
      </c>
      <c r="X20" s="250"/>
      <c r="Y20" s="27"/>
      <c r="Z20" s="27"/>
    </row>
    <row r="21" spans="2:26" ht="15.75" thickBot="1" x14ac:dyDescent="0.3">
      <c r="B21" s="329" t="s">
        <v>8</v>
      </c>
      <c r="C21" s="9" t="s">
        <v>41</v>
      </c>
      <c r="D21" s="41">
        <v>1000</v>
      </c>
      <c r="E21" s="282"/>
      <c r="F21" s="72"/>
      <c r="G21" s="45"/>
      <c r="H21" s="141">
        <f>D21/$G$11</f>
        <v>1000</v>
      </c>
      <c r="I21" s="57">
        <f>D21/($G$13)</f>
        <v>0.05</v>
      </c>
      <c r="J21" s="157">
        <f t="shared" si="0"/>
        <v>0.14336917562724014</v>
      </c>
      <c r="K21" s="84"/>
      <c r="L21" s="329" t="s">
        <v>8</v>
      </c>
      <c r="M21" s="9" t="s">
        <v>41</v>
      </c>
      <c r="N21" s="41">
        <v>1000</v>
      </c>
      <c r="O21" s="282"/>
      <c r="P21" s="72"/>
      <c r="Q21" s="45"/>
      <c r="R21" s="141">
        <f>N21/$Q$11</f>
        <v>1000</v>
      </c>
      <c r="S21" s="57">
        <f>N21/($Q$13)</f>
        <v>0.05</v>
      </c>
      <c r="T21" s="157">
        <f t="shared" si="1"/>
        <v>0.13131976362442549</v>
      </c>
      <c r="U21" s="19"/>
      <c r="V21" s="334">
        <f t="shared" si="2"/>
        <v>0</v>
      </c>
      <c r="W21" s="19" t="s">
        <v>41</v>
      </c>
      <c r="X21" s="250"/>
      <c r="Y21" s="27"/>
      <c r="Z21" s="27"/>
    </row>
    <row r="22" spans="2:26" ht="15.75" thickBot="1" x14ac:dyDescent="0.3">
      <c r="B22" s="330"/>
      <c r="C22" s="9" t="s">
        <v>113</v>
      </c>
      <c r="D22" s="41">
        <v>50</v>
      </c>
      <c r="E22" s="282"/>
      <c r="F22" s="72"/>
      <c r="G22" s="45"/>
      <c r="H22" s="141">
        <f>D22/$G$14</f>
        <v>10</v>
      </c>
      <c r="I22" s="57">
        <f>H22/(G14*G13)</f>
        <v>1E-4</v>
      </c>
      <c r="J22" s="157">
        <f t="shared" si="0"/>
        <v>1.4336917562724014E-3</v>
      </c>
      <c r="K22" s="84"/>
      <c r="L22" s="330"/>
      <c r="M22" s="9" t="s">
        <v>113</v>
      </c>
      <c r="N22" s="41">
        <v>50</v>
      </c>
      <c r="O22" s="282"/>
      <c r="P22" s="72"/>
      <c r="Q22" s="45"/>
      <c r="R22" s="141">
        <f>N22/$Q$14</f>
        <v>10</v>
      </c>
      <c r="S22" s="57">
        <f>R22/(Q14*Q13)</f>
        <v>1E-4</v>
      </c>
      <c r="T22" s="157">
        <f t="shared" si="1"/>
        <v>1.3131976362442547E-3</v>
      </c>
      <c r="U22" s="19"/>
      <c r="V22" s="334">
        <f t="shared" si="2"/>
        <v>0</v>
      </c>
      <c r="W22" s="19" t="s">
        <v>114</v>
      </c>
      <c r="X22" s="250"/>
      <c r="Y22" s="27"/>
      <c r="Z22" s="27"/>
    </row>
    <row r="23" spans="2:26" ht="15.75" thickBot="1" x14ac:dyDescent="0.3">
      <c r="B23" s="330"/>
      <c r="C23" s="9" t="s">
        <v>42</v>
      </c>
      <c r="D23" s="41">
        <v>200</v>
      </c>
      <c r="E23" s="282"/>
      <c r="F23" s="72"/>
      <c r="G23" s="45"/>
      <c r="H23" s="141">
        <f>D23/$G$11</f>
        <v>200</v>
      </c>
      <c r="I23" s="57">
        <f>D23/$G$13</f>
        <v>0.01</v>
      </c>
      <c r="J23" s="157">
        <f t="shared" si="0"/>
        <v>2.8673835125448029E-2</v>
      </c>
      <c r="K23" s="84"/>
      <c r="L23" s="330"/>
      <c r="M23" s="9" t="s">
        <v>42</v>
      </c>
      <c r="N23" s="41">
        <v>200</v>
      </c>
      <c r="O23" s="282"/>
      <c r="P23" s="72"/>
      <c r="Q23" s="45"/>
      <c r="R23" s="141">
        <f>N23/$Q$11</f>
        <v>200</v>
      </c>
      <c r="S23" s="57">
        <f>N23/$Q$13</f>
        <v>0.01</v>
      </c>
      <c r="T23" s="157">
        <f t="shared" si="1"/>
        <v>2.6263952724885097E-2</v>
      </c>
      <c r="U23" s="19"/>
      <c r="V23" s="334">
        <f t="shared" si="2"/>
        <v>0</v>
      </c>
      <c r="W23" s="19" t="s">
        <v>42</v>
      </c>
      <c r="X23" s="250"/>
      <c r="Y23" s="27"/>
      <c r="Z23" s="27"/>
    </row>
    <row r="24" spans="2:26" ht="30.75" thickBot="1" x14ac:dyDescent="0.3">
      <c r="B24" s="330"/>
      <c r="C24" s="175" t="s">
        <v>43</v>
      </c>
      <c r="D24" s="41">
        <v>100</v>
      </c>
      <c r="E24" s="282"/>
      <c r="F24" s="72"/>
      <c r="G24" s="45"/>
      <c r="H24" s="141">
        <f>D24/$G$11</f>
        <v>100</v>
      </c>
      <c r="I24" s="57">
        <f>D24/$G$13</f>
        <v>5.0000000000000001E-3</v>
      </c>
      <c r="J24" s="157">
        <f t="shared" si="0"/>
        <v>1.4336917562724014E-2</v>
      </c>
      <c r="K24" s="84"/>
      <c r="L24" s="330"/>
      <c r="M24" s="175" t="s">
        <v>43</v>
      </c>
      <c r="N24" s="41">
        <v>100</v>
      </c>
      <c r="O24" s="282"/>
      <c r="P24" s="72"/>
      <c r="Q24" s="45"/>
      <c r="R24" s="141">
        <f>N24/$Q$11</f>
        <v>100</v>
      </c>
      <c r="S24" s="57">
        <f>N24/$Q$13</f>
        <v>5.0000000000000001E-3</v>
      </c>
      <c r="T24" s="157">
        <f t="shared" si="1"/>
        <v>1.3131976362442548E-2</v>
      </c>
      <c r="U24" s="19"/>
      <c r="V24" s="334">
        <f t="shared" si="2"/>
        <v>0</v>
      </c>
      <c r="W24" s="19" t="s">
        <v>43</v>
      </c>
      <c r="X24" s="250"/>
      <c r="Y24" s="27"/>
      <c r="Z24" s="27"/>
    </row>
    <row r="25" spans="2:26" ht="15.75" thickBot="1" x14ac:dyDescent="0.3">
      <c r="B25" s="330"/>
      <c r="C25" s="10"/>
      <c r="D25" s="101"/>
      <c r="E25" s="283"/>
      <c r="F25" s="93"/>
      <c r="G25" s="102"/>
      <c r="H25" s="142"/>
      <c r="I25" s="103"/>
      <c r="J25" s="92"/>
      <c r="K25" s="84"/>
      <c r="L25" s="330"/>
      <c r="M25" s="10"/>
      <c r="N25" s="101"/>
      <c r="O25" s="283"/>
      <c r="P25" s="93"/>
      <c r="Q25" s="102"/>
      <c r="R25" s="142"/>
      <c r="S25" s="103"/>
      <c r="T25" s="92"/>
      <c r="U25" s="19"/>
      <c r="V25" s="335"/>
      <c r="W25" s="19"/>
      <c r="X25" s="250"/>
      <c r="Y25" s="27"/>
      <c r="Z25" s="27"/>
    </row>
    <row r="26" spans="2:26" ht="15.75" thickBot="1" x14ac:dyDescent="0.3">
      <c r="B26" s="330"/>
      <c r="C26" s="105" t="s">
        <v>82</v>
      </c>
      <c r="D26" s="106"/>
      <c r="E26" s="302"/>
      <c r="F26" s="111"/>
      <c r="G26" s="112"/>
      <c r="H26" s="143"/>
      <c r="I26" s="109"/>
      <c r="J26" s="110"/>
      <c r="K26" s="84"/>
      <c r="L26" s="330"/>
      <c r="M26" s="105" t="s">
        <v>82</v>
      </c>
      <c r="N26" s="106"/>
      <c r="O26" s="302"/>
      <c r="P26" s="111"/>
      <c r="Q26" s="112"/>
      <c r="R26" s="143"/>
      <c r="S26" s="109"/>
      <c r="T26" s="110"/>
      <c r="U26" s="19"/>
      <c r="V26" s="338"/>
      <c r="W26" s="19"/>
      <c r="X26" s="250"/>
      <c r="Y26" s="27"/>
      <c r="Z26" s="27"/>
    </row>
    <row r="27" spans="2:26" x14ac:dyDescent="0.25">
      <c r="B27" s="330"/>
      <c r="C27" s="9" t="s">
        <v>53</v>
      </c>
      <c r="D27" s="116"/>
      <c r="E27" s="285">
        <f>IF(D27="",F27,D27)</f>
        <v>5.2</v>
      </c>
      <c r="F27" s="79">
        <v>5.2</v>
      </c>
      <c r="G27" s="90" t="s">
        <v>46</v>
      </c>
      <c r="H27" s="142"/>
      <c r="I27" s="89"/>
      <c r="J27" s="94"/>
      <c r="K27" s="84"/>
      <c r="L27" s="330"/>
      <c r="M27" s="9" t="s">
        <v>53</v>
      </c>
      <c r="N27" s="116"/>
      <c r="O27" s="285">
        <f>IF(N27="",P27,N27)</f>
        <v>5.2</v>
      </c>
      <c r="P27" s="79">
        <v>5.2</v>
      </c>
      <c r="Q27" s="90" t="s">
        <v>46</v>
      </c>
      <c r="R27" s="142"/>
      <c r="S27" s="89"/>
      <c r="T27" s="94"/>
      <c r="U27" s="19"/>
      <c r="V27" s="338"/>
      <c r="W27" s="19"/>
      <c r="X27" s="250"/>
      <c r="Y27" s="27"/>
      <c r="Z27" s="27"/>
    </row>
    <row r="28" spans="2:26" ht="15.75" thickBot="1" x14ac:dyDescent="0.3">
      <c r="B28" s="330"/>
      <c r="C28" s="9" t="s">
        <v>64</v>
      </c>
      <c r="D28" s="70"/>
      <c r="E28" s="286">
        <f>IF(D28="",F28,D28)</f>
        <v>1.35</v>
      </c>
      <c r="F28" s="199">
        <v>1.35</v>
      </c>
      <c r="G28" s="91" t="s">
        <v>52</v>
      </c>
      <c r="H28" s="142"/>
      <c r="I28" s="89"/>
      <c r="J28" s="94"/>
      <c r="K28" s="84"/>
      <c r="L28" s="330"/>
      <c r="M28" s="9" t="s">
        <v>64</v>
      </c>
      <c r="N28" s="70"/>
      <c r="O28" s="286">
        <f>IF(N28="",P28,N28)</f>
        <v>1.35</v>
      </c>
      <c r="P28" s="199">
        <v>1.35</v>
      </c>
      <c r="Q28" s="91" t="s">
        <v>52</v>
      </c>
      <c r="R28" s="142"/>
      <c r="S28" s="89"/>
      <c r="T28" s="94"/>
      <c r="U28" s="19"/>
      <c r="V28" s="338"/>
      <c r="W28" s="19"/>
      <c r="X28" s="250"/>
      <c r="Y28" s="27"/>
      <c r="Z28" s="27"/>
    </row>
    <row r="29" spans="2:26" ht="15.75" thickBot="1" x14ac:dyDescent="0.3">
      <c r="B29" s="330"/>
      <c r="C29" s="95" t="s">
        <v>74</v>
      </c>
      <c r="D29" s="187">
        <f>$E$28*$E$27/100</f>
        <v>7.0199999999999999E-2</v>
      </c>
      <c r="E29" s="287">
        <f>IF(VLOOKUP(G$12,Hypothèses!C12:C17,1,0)=Hypothèses!C12,D29*$G$11,"N/A")</f>
        <v>7.0199999999999999E-2</v>
      </c>
      <c r="F29" s="96"/>
      <c r="G29" s="97" t="s">
        <v>54</v>
      </c>
      <c r="H29" s="144">
        <f>IF(VLOOKUP(G$12,Hypothèses!C12:C17,1,0)=Hypothèses!C12,D29*$G$13,"N/A")</f>
        <v>1404</v>
      </c>
      <c r="I29" s="98">
        <f>IF(H29="N/A", 0, H29/$G$13)</f>
        <v>7.0199999999999999E-2</v>
      </c>
      <c r="J29" s="99">
        <f>IF(H29="N/A",0,H29/$H$79)</f>
        <v>0.20129032258064516</v>
      </c>
      <c r="K29" s="84"/>
      <c r="L29" s="330"/>
      <c r="M29" s="95" t="s">
        <v>74</v>
      </c>
      <c r="N29" s="38">
        <f>$O$28*$O$27/100</f>
        <v>7.0199999999999999E-2</v>
      </c>
      <c r="O29" s="287" t="str">
        <f>IF(VLOOKUP(Q$12,Hypothèses!E12:E17,1,0)=Hypothèses!E12,N29*$G$11,"N/A")</f>
        <v>N/A</v>
      </c>
      <c r="P29" s="96"/>
      <c r="Q29" s="97" t="s">
        <v>54</v>
      </c>
      <c r="R29" s="144" t="str">
        <f>IF(VLOOKUP(Q$12,Hypothèses!E12:E17,1,0)=Hypothèses!E12,N29*$Q$13,"N/A")</f>
        <v>N/A</v>
      </c>
      <c r="S29" s="98">
        <f>IF(R29="N/A", 0, R29/$Q$13)</f>
        <v>0</v>
      </c>
      <c r="T29" s="99">
        <f>IF(R29="N/A",0,R29/$R$79)</f>
        <v>0</v>
      </c>
      <c r="U29" s="19"/>
      <c r="V29" s="339"/>
      <c r="X29" s="250"/>
      <c r="Y29" s="27"/>
      <c r="Z29" s="27"/>
    </row>
    <row r="30" spans="2:26" ht="15.75" thickBot="1" x14ac:dyDescent="0.3">
      <c r="B30" s="330"/>
      <c r="C30" s="10"/>
      <c r="D30" s="101"/>
      <c r="E30" s="283"/>
      <c r="F30" s="93"/>
      <c r="G30" s="102"/>
      <c r="H30" s="142"/>
      <c r="I30" s="103"/>
      <c r="J30" s="92"/>
      <c r="K30" s="84"/>
      <c r="L30" s="330"/>
      <c r="M30" s="10"/>
      <c r="N30" s="101"/>
      <c r="O30" s="283"/>
      <c r="P30" s="93"/>
      <c r="Q30" s="102"/>
      <c r="R30" s="142"/>
      <c r="S30" s="103"/>
      <c r="T30" s="92"/>
      <c r="U30" s="19"/>
      <c r="V30" s="338"/>
      <c r="W30" s="19"/>
      <c r="X30" s="250"/>
      <c r="Y30" s="27"/>
      <c r="Z30" s="27"/>
    </row>
    <row r="31" spans="2:26" ht="15.75" thickBot="1" x14ac:dyDescent="0.3">
      <c r="B31" s="330"/>
      <c r="C31" s="105" t="s">
        <v>83</v>
      </c>
      <c r="D31" s="106"/>
      <c r="E31" s="302"/>
      <c r="F31" s="111"/>
      <c r="G31" s="112"/>
      <c r="H31" s="143"/>
      <c r="I31" s="109"/>
      <c r="J31" s="110"/>
      <c r="K31" s="84"/>
      <c r="L31" s="330"/>
      <c r="M31" s="105" t="s">
        <v>83</v>
      </c>
      <c r="N31" s="106"/>
      <c r="O31" s="302"/>
      <c r="P31" s="111"/>
      <c r="Q31" s="112"/>
      <c r="R31" s="143"/>
      <c r="S31" s="109"/>
      <c r="T31" s="110"/>
      <c r="U31" s="19"/>
      <c r="V31" s="338"/>
      <c r="W31" s="19"/>
      <c r="X31" s="250"/>
      <c r="Y31" s="27"/>
      <c r="Z31" s="27"/>
    </row>
    <row r="32" spans="2:26" x14ac:dyDescent="0.25">
      <c r="B32" s="330"/>
      <c r="C32" s="9" t="s">
        <v>53</v>
      </c>
      <c r="D32" s="116"/>
      <c r="E32" s="285">
        <f>IF(D32="",F32,D32)</f>
        <v>5.2</v>
      </c>
      <c r="F32" s="79">
        <v>5.2</v>
      </c>
      <c r="G32" s="90" t="s">
        <v>46</v>
      </c>
      <c r="H32" s="142"/>
      <c r="I32" s="89"/>
      <c r="J32" s="94"/>
      <c r="K32" s="84"/>
      <c r="L32" s="330"/>
      <c r="M32" s="9" t="s">
        <v>53</v>
      </c>
      <c r="N32" s="116"/>
      <c r="O32" s="285">
        <f>IF(N32="",P32,N32)</f>
        <v>5.2</v>
      </c>
      <c r="P32" s="79">
        <v>5.2</v>
      </c>
      <c r="Q32" s="90" t="s">
        <v>46</v>
      </c>
      <c r="R32" s="142"/>
      <c r="S32" s="89"/>
      <c r="T32" s="94"/>
      <c r="U32" s="19"/>
      <c r="V32" s="338"/>
      <c r="W32" s="19"/>
      <c r="X32" s="250"/>
      <c r="Y32" s="27"/>
      <c r="Z32" s="27"/>
    </row>
    <row r="33" spans="2:26" ht="15.75" thickBot="1" x14ac:dyDescent="0.3">
      <c r="B33" s="330"/>
      <c r="C33" s="9" t="s">
        <v>64</v>
      </c>
      <c r="D33" s="70"/>
      <c r="E33" s="286">
        <f>IF(D33="",F33,D33)</f>
        <v>1.29</v>
      </c>
      <c r="F33" s="199">
        <v>1.29</v>
      </c>
      <c r="G33" s="91" t="s">
        <v>52</v>
      </c>
      <c r="H33" s="142"/>
      <c r="I33" s="89"/>
      <c r="J33" s="94"/>
      <c r="K33" s="84"/>
      <c r="L33" s="330"/>
      <c r="M33" s="9" t="s">
        <v>64</v>
      </c>
      <c r="N33" s="70"/>
      <c r="O33" s="286">
        <f>IF(N33="",P33,N33)</f>
        <v>1.29</v>
      </c>
      <c r="P33" s="199">
        <v>1.29</v>
      </c>
      <c r="Q33" s="91" t="s">
        <v>52</v>
      </c>
      <c r="R33" s="142"/>
      <c r="S33" s="89"/>
      <c r="T33" s="94"/>
      <c r="U33" s="19"/>
      <c r="V33" s="338"/>
      <c r="W33" s="19"/>
      <c r="X33" s="250"/>
      <c r="Y33" s="27"/>
      <c r="Z33" s="27"/>
    </row>
    <row r="34" spans="2:26" ht="15.75" thickBot="1" x14ac:dyDescent="0.3">
      <c r="B34" s="330"/>
      <c r="C34" s="95" t="s">
        <v>74</v>
      </c>
      <c r="D34" s="187">
        <f>$E$33*$E$32/100</f>
        <v>6.7080000000000001E-2</v>
      </c>
      <c r="E34" s="287" t="str">
        <f>IF(VLOOKUP(G$12,Hypothèses!C12:C17,1,0)=Hypothèses!C13,D34*$G$11,"N/A")</f>
        <v>N/A</v>
      </c>
      <c r="F34" s="96"/>
      <c r="G34" s="97" t="s">
        <v>54</v>
      </c>
      <c r="H34" s="144" t="str">
        <f>IF(VLOOKUP(G$12,Hypothèses!C12:C17,1,0)=Hypothèses!C13,D34*$G$13,"N/A")</f>
        <v>N/A</v>
      </c>
      <c r="I34" s="98">
        <f>IF(H34="N/A", 0, H34/$G$13)</f>
        <v>0</v>
      </c>
      <c r="J34" s="99">
        <f>IF(H34="N/A",0,H34/$H$79)</f>
        <v>0</v>
      </c>
      <c r="K34" s="84"/>
      <c r="L34" s="330"/>
      <c r="M34" s="95" t="s">
        <v>74</v>
      </c>
      <c r="N34" s="38">
        <f>$O$33*$O$32/100</f>
        <v>6.7080000000000001E-2</v>
      </c>
      <c r="O34" s="287" t="str">
        <f>IF(VLOOKUP(Q$12,Hypothèses!E12:E17,1,0)=Hypothèses!E13,N34*$G$11,"N/A")</f>
        <v>N/A</v>
      </c>
      <c r="P34" s="96"/>
      <c r="Q34" s="97" t="s">
        <v>54</v>
      </c>
      <c r="R34" s="144" t="str">
        <f>IF(VLOOKUP(Q$12,Hypothèses!E12:E17,1,0)=Hypothèses!E13,N34*$Q$13,"N/A")</f>
        <v>N/A</v>
      </c>
      <c r="S34" s="98">
        <f>IF(R34="N/A", 0, R34/$Q$13)</f>
        <v>0</v>
      </c>
      <c r="T34" s="99">
        <f>IF(R34="N/A",0,R34/$R$79)</f>
        <v>0</v>
      </c>
      <c r="U34" s="19"/>
      <c r="V34" s="339"/>
      <c r="W34" s="19"/>
      <c r="X34" s="250"/>
      <c r="Y34" s="27"/>
      <c r="Z34" s="27"/>
    </row>
    <row r="35" spans="2:26" ht="15.75" thickBot="1" x14ac:dyDescent="0.3">
      <c r="B35" s="330"/>
      <c r="C35" s="10"/>
      <c r="D35" s="101"/>
      <c r="E35" s="283"/>
      <c r="F35" s="93"/>
      <c r="G35" s="102"/>
      <c r="H35" s="142"/>
      <c r="I35" s="103"/>
      <c r="J35" s="92"/>
      <c r="K35" s="84"/>
      <c r="L35" s="330"/>
      <c r="M35" s="10"/>
      <c r="N35" s="101"/>
      <c r="O35" s="283"/>
      <c r="P35" s="93"/>
      <c r="Q35" s="102"/>
      <c r="R35" s="142"/>
      <c r="S35" s="103"/>
      <c r="T35" s="92"/>
      <c r="U35" s="19"/>
      <c r="V35" s="338"/>
      <c r="W35" s="19"/>
      <c r="X35" s="250"/>
      <c r="Y35" s="27"/>
      <c r="Z35" s="27"/>
    </row>
    <row r="36" spans="2:26" ht="15.75" thickBot="1" x14ac:dyDescent="0.3">
      <c r="B36" s="330"/>
      <c r="C36" s="105" t="s">
        <v>84</v>
      </c>
      <c r="D36" s="106"/>
      <c r="E36" s="302"/>
      <c r="F36" s="111"/>
      <c r="G36" s="112"/>
      <c r="H36" s="143"/>
      <c r="I36" s="109"/>
      <c r="J36" s="110"/>
      <c r="K36" s="133"/>
      <c r="L36" s="330"/>
      <c r="M36" s="105" t="s">
        <v>84</v>
      </c>
      <c r="N36" s="106"/>
      <c r="O36" s="302"/>
      <c r="P36" s="111"/>
      <c r="Q36" s="112"/>
      <c r="R36" s="143"/>
      <c r="S36" s="109"/>
      <c r="T36" s="110"/>
      <c r="U36" s="19"/>
      <c r="V36" s="338"/>
      <c r="W36" s="19"/>
      <c r="X36" s="250"/>
      <c r="Y36" s="27"/>
      <c r="Z36" s="27"/>
    </row>
    <row r="37" spans="2:26" x14ac:dyDescent="0.25">
      <c r="B37" s="330"/>
      <c r="C37" s="9" t="s">
        <v>53</v>
      </c>
      <c r="D37" s="116"/>
      <c r="E37" s="285">
        <f>IF(D37="",F37,D37)</f>
        <v>5.2</v>
      </c>
      <c r="F37" s="79">
        <v>5.2</v>
      </c>
      <c r="G37" s="90" t="s">
        <v>46</v>
      </c>
      <c r="H37" s="142"/>
      <c r="I37" s="89"/>
      <c r="J37" s="94"/>
      <c r="K37" s="84"/>
      <c r="L37" s="330"/>
      <c r="M37" s="9" t="s">
        <v>53</v>
      </c>
      <c r="N37" s="116"/>
      <c r="O37" s="285">
        <f>IF(N37="",P37,N37)</f>
        <v>5.2</v>
      </c>
      <c r="P37" s="79">
        <v>5.2</v>
      </c>
      <c r="Q37" s="90" t="s">
        <v>46</v>
      </c>
      <c r="R37" s="142"/>
      <c r="S37" s="89"/>
      <c r="T37" s="94"/>
      <c r="U37" s="19"/>
      <c r="V37" s="338"/>
      <c r="W37" s="19"/>
      <c r="X37" s="250"/>
      <c r="Y37" s="27"/>
      <c r="Z37" s="27"/>
    </row>
    <row r="38" spans="2:26" ht="15.75" thickBot="1" x14ac:dyDescent="0.3">
      <c r="B38" s="330"/>
      <c r="C38" s="9" t="s">
        <v>64</v>
      </c>
      <c r="D38" s="70"/>
      <c r="E38" s="286">
        <f>IF(D38="",F38,D38)</f>
        <v>1.35</v>
      </c>
      <c r="F38" s="199">
        <v>1.35</v>
      </c>
      <c r="G38" s="91" t="s">
        <v>52</v>
      </c>
      <c r="H38" s="142"/>
      <c r="I38" s="89"/>
      <c r="J38" s="94"/>
      <c r="K38" s="84"/>
      <c r="L38" s="330"/>
      <c r="M38" s="9" t="s">
        <v>64</v>
      </c>
      <c r="N38" s="70"/>
      <c r="O38" s="286">
        <f>IF(N38="",P38,N38)</f>
        <v>1.35</v>
      </c>
      <c r="P38" s="199">
        <v>1.35</v>
      </c>
      <c r="Q38" s="91" t="s">
        <v>52</v>
      </c>
      <c r="R38" s="142"/>
      <c r="S38" s="89"/>
      <c r="T38" s="94"/>
      <c r="U38" s="19"/>
      <c r="V38" s="338"/>
      <c r="W38" s="19"/>
      <c r="X38" s="250"/>
      <c r="Y38" s="27"/>
      <c r="Z38" s="27"/>
    </row>
    <row r="39" spans="2:26" ht="15.75" thickBot="1" x14ac:dyDescent="0.3">
      <c r="B39" s="330"/>
      <c r="C39" s="95" t="s">
        <v>74</v>
      </c>
      <c r="D39" s="187">
        <f>$E$38*$E$37/100</f>
        <v>7.0199999999999999E-2</v>
      </c>
      <c r="E39" s="287" t="str">
        <f>IF(VLOOKUP(G$12,Hypothèses!C12:C17,1,0)=Hypothèses!C14,D39*$G$11,"N/A")</f>
        <v>N/A</v>
      </c>
      <c r="F39" s="96"/>
      <c r="G39" s="97" t="s">
        <v>54</v>
      </c>
      <c r="H39" s="144" t="str">
        <f>IF(VLOOKUP(G$12,Hypothèses!C12:C17,1,0)=Hypothèses!C14,D39*$G$13,"N/A")</f>
        <v>N/A</v>
      </c>
      <c r="I39" s="98">
        <f>IF(H39="N/A", 0, H39/$G$13)</f>
        <v>0</v>
      </c>
      <c r="J39" s="99">
        <f>IF(H39="N/A",0,H39/$H$79)</f>
        <v>0</v>
      </c>
      <c r="K39" s="84"/>
      <c r="L39" s="330"/>
      <c r="M39" s="95" t="s">
        <v>74</v>
      </c>
      <c r="N39" s="38">
        <f>$O$38*$O$37/100</f>
        <v>7.0199999999999999E-2</v>
      </c>
      <c r="O39" s="287" t="str">
        <f>IF(VLOOKUP(Q$12,Hypothèses!E12:E17,1,0)=Hypothèses!E14,N39*$G$11,"N/A")</f>
        <v>N/A</v>
      </c>
      <c r="P39" s="96"/>
      <c r="Q39" s="97" t="s">
        <v>54</v>
      </c>
      <c r="R39" s="144" t="str">
        <f>IF(VLOOKUP(Q$12,Hypothèses!E12:E17,1,0)=Hypothèses!E14,N39*$Q$13,"N/A")</f>
        <v>N/A</v>
      </c>
      <c r="S39" s="98">
        <f>IF(R39="N/A", 0, R39/$Q$13)</f>
        <v>0</v>
      </c>
      <c r="T39" s="99">
        <f>IF(R39="N/A",0,R39/$R$79)</f>
        <v>0</v>
      </c>
      <c r="U39" s="19"/>
      <c r="V39" s="339"/>
      <c r="W39" s="19"/>
      <c r="X39" s="250"/>
      <c r="Y39" s="27"/>
      <c r="Z39" s="27"/>
    </row>
    <row r="40" spans="2:26" ht="15.75" thickBot="1" x14ac:dyDescent="0.3">
      <c r="B40" s="330"/>
      <c r="C40" s="10"/>
      <c r="D40" s="101"/>
      <c r="E40" s="283"/>
      <c r="F40" s="93"/>
      <c r="G40" s="102"/>
      <c r="H40" s="142"/>
      <c r="I40" s="103"/>
      <c r="J40" s="92"/>
      <c r="K40" s="84"/>
      <c r="L40" s="330"/>
      <c r="M40" s="10"/>
      <c r="N40" s="101"/>
      <c r="O40" s="283"/>
      <c r="P40" s="93"/>
      <c r="Q40" s="102"/>
      <c r="R40" s="142"/>
      <c r="S40" s="103"/>
      <c r="T40" s="92"/>
      <c r="U40" s="19"/>
      <c r="V40" s="338"/>
      <c r="W40" s="19"/>
      <c r="X40" s="250"/>
      <c r="Y40" s="27"/>
      <c r="Z40" s="27"/>
    </row>
    <row r="41" spans="2:26" ht="15.75" thickBot="1" x14ac:dyDescent="0.3">
      <c r="B41" s="330"/>
      <c r="C41" s="105" t="s">
        <v>78</v>
      </c>
      <c r="D41" s="106"/>
      <c r="E41" s="302"/>
      <c r="F41" s="107"/>
      <c r="G41" s="108"/>
      <c r="H41" s="143"/>
      <c r="I41" s="109"/>
      <c r="J41" s="110"/>
      <c r="K41" s="84"/>
      <c r="L41" s="330"/>
      <c r="M41" s="105" t="s">
        <v>78</v>
      </c>
      <c r="N41" s="106"/>
      <c r="O41" s="302"/>
      <c r="P41" s="107"/>
      <c r="Q41" s="108"/>
      <c r="R41" s="143"/>
      <c r="S41" s="109"/>
      <c r="T41" s="110"/>
      <c r="U41" s="19"/>
      <c r="V41" s="338"/>
      <c r="W41" s="19"/>
      <c r="X41" s="250"/>
      <c r="Y41" s="27"/>
      <c r="Z41" s="27"/>
    </row>
    <row r="42" spans="2:26" x14ac:dyDescent="0.25">
      <c r="B42" s="330"/>
      <c r="C42" s="9" t="s">
        <v>79</v>
      </c>
      <c r="D42" s="182"/>
      <c r="E42" s="285">
        <f>IF(D42="",F42,D42)</f>
        <v>16</v>
      </c>
      <c r="F42" s="79">
        <v>16</v>
      </c>
      <c r="G42" s="90" t="s">
        <v>75</v>
      </c>
      <c r="H42" s="142"/>
      <c r="I42" s="89"/>
      <c r="J42" s="94"/>
      <c r="K42" s="84"/>
      <c r="L42" s="330"/>
      <c r="M42" s="9" t="s">
        <v>79</v>
      </c>
      <c r="N42" s="182"/>
      <c r="O42" s="285">
        <f>IF(N42="",P42,N42)</f>
        <v>16</v>
      </c>
      <c r="P42" s="79">
        <v>16</v>
      </c>
      <c r="Q42" s="90" t="s">
        <v>75</v>
      </c>
      <c r="R42" s="142"/>
      <c r="S42" s="89"/>
      <c r="T42" s="94"/>
      <c r="U42" s="19"/>
      <c r="V42" s="338"/>
      <c r="W42" s="19"/>
      <c r="X42" s="250"/>
      <c r="Y42" s="27"/>
      <c r="Z42" s="27"/>
    </row>
    <row r="43" spans="2:26" x14ac:dyDescent="0.25">
      <c r="B43" s="330"/>
      <c r="C43" s="10" t="s">
        <v>96</v>
      </c>
      <c r="D43" s="70"/>
      <c r="E43" s="286">
        <f>IF(D43="",F43,D43)</f>
        <v>0.08</v>
      </c>
      <c r="F43" s="199">
        <v>0.08</v>
      </c>
      <c r="G43" s="80" t="s">
        <v>73</v>
      </c>
      <c r="H43" s="145"/>
      <c r="I43" s="27"/>
      <c r="J43" s="104"/>
      <c r="K43" s="113"/>
      <c r="L43" s="330"/>
      <c r="M43" s="10" t="s">
        <v>96</v>
      </c>
      <c r="N43" s="70"/>
      <c r="O43" s="286">
        <f>IF(N43="",P43,N43)</f>
        <v>0.08</v>
      </c>
      <c r="P43" s="199">
        <v>0.08</v>
      </c>
      <c r="Q43" s="80" t="s">
        <v>73</v>
      </c>
      <c r="R43" s="145"/>
      <c r="S43" s="27"/>
      <c r="T43" s="104"/>
      <c r="U43" s="19"/>
      <c r="V43" s="338"/>
      <c r="W43" s="19"/>
      <c r="X43" s="250"/>
      <c r="Y43" s="27"/>
      <c r="Z43" s="27"/>
    </row>
    <row r="44" spans="2:26" ht="15.75" thickBot="1" x14ac:dyDescent="0.3">
      <c r="B44" s="330"/>
      <c r="C44" s="10" t="s">
        <v>140</v>
      </c>
      <c r="D44" s="197"/>
      <c r="E44" s="285">
        <f>IF(D44="",F44,D44)</f>
        <v>7</v>
      </c>
      <c r="F44" s="79">
        <v>7</v>
      </c>
      <c r="G44" s="80"/>
      <c r="H44" s="145"/>
      <c r="I44" s="232"/>
      <c r="J44" s="104"/>
      <c r="K44" s="113"/>
      <c r="L44" s="330"/>
      <c r="M44" s="10" t="s">
        <v>140</v>
      </c>
      <c r="N44" s="197"/>
      <c r="O44" s="285">
        <f>IF(N44="",P44,N44)</f>
        <v>7</v>
      </c>
      <c r="P44" s="79">
        <v>7</v>
      </c>
      <c r="Q44" s="80"/>
      <c r="R44" s="145"/>
      <c r="S44" s="232"/>
      <c r="T44" s="104"/>
      <c r="U44" s="19"/>
      <c r="V44" s="338"/>
      <c r="W44" s="19"/>
      <c r="X44" s="250"/>
      <c r="Y44" s="27"/>
      <c r="Z44" s="27"/>
    </row>
    <row r="45" spans="2:26" ht="15.75" thickBot="1" x14ac:dyDescent="0.3">
      <c r="B45" s="330"/>
      <c r="C45" s="10" t="s">
        <v>138</v>
      </c>
      <c r="D45" s="197"/>
      <c r="E45" s="286">
        <f>IF(D45="",F45,D45)</f>
        <v>15000</v>
      </c>
      <c r="F45" s="199">
        <v>15000</v>
      </c>
      <c r="G45" s="80" t="s">
        <v>139</v>
      </c>
      <c r="H45" s="201" t="str">
        <f>IF(VLOOKUP(G$12,Hypothèses!C12:C17,1,0)=Hypothèses!C16,E45/E44/G14,"N/A")</f>
        <v>N/A</v>
      </c>
      <c r="I45" s="202">
        <f>IF(H45="N/A", 0, E45/E44/($G$14*$G$13))</f>
        <v>0</v>
      </c>
      <c r="J45" s="237">
        <f>IF(H45="N/A",0,H45/$H$79)</f>
        <v>0</v>
      </c>
      <c r="K45" s="113"/>
      <c r="L45" s="330"/>
      <c r="M45" s="10" t="s">
        <v>138</v>
      </c>
      <c r="N45" s="197"/>
      <c r="O45" s="286">
        <f>IF(N45="",P45,N45)</f>
        <v>15000</v>
      </c>
      <c r="P45" s="199">
        <v>15000</v>
      </c>
      <c r="Q45" s="80" t="s">
        <v>139</v>
      </c>
      <c r="R45" s="201" t="str">
        <f>IF(VLOOKUP(Q$12,Hypothèses!E12:E17,1,0)=Hypothèses!E16,O45/O44/Q14,"N/A")</f>
        <v>N/A</v>
      </c>
      <c r="S45" s="202">
        <f>IF(R45="N/A", 0, O45/O44/($Q$14*$Q$13))</f>
        <v>0</v>
      </c>
      <c r="T45" s="237">
        <f>IF(R45="N/A",0,R45/$H$79)</f>
        <v>0</v>
      </c>
      <c r="U45" s="19"/>
      <c r="V45" s="339"/>
      <c r="W45" s="19"/>
      <c r="X45" s="250"/>
      <c r="Y45" s="27"/>
      <c r="Z45" s="27"/>
    </row>
    <row r="46" spans="2:26" ht="15.75" thickBot="1" x14ac:dyDescent="0.3">
      <c r="B46" s="330"/>
      <c r="C46" s="95" t="s">
        <v>89</v>
      </c>
      <c r="D46" s="187">
        <f>$E$43*E42/100</f>
        <v>1.2800000000000001E-2</v>
      </c>
      <c r="E46" s="287" t="str">
        <f>IF(VLOOKUP(G$12,Hypothèses!C12:C17,1,0)=Hypothèses!C16,D46*$G$11,"N/A")</f>
        <v>N/A</v>
      </c>
      <c r="F46" s="96"/>
      <c r="G46" s="233" t="s">
        <v>54</v>
      </c>
      <c r="H46" s="234" t="str">
        <f>IF(VLOOKUP(G$12,Hypothèses!C12:C17,1,0)=Hypothèses!C16,D46*$G$13,"N/A")</f>
        <v>N/A</v>
      </c>
      <c r="I46" s="235">
        <f>IF(H46="N/A", 0, H46/$G$13)</f>
        <v>0</v>
      </c>
      <c r="J46" s="236">
        <f>IF(H46="N/A",0,H46/$H$79)</f>
        <v>0</v>
      </c>
      <c r="K46" s="84"/>
      <c r="L46" s="330"/>
      <c r="M46" s="95" t="s">
        <v>89</v>
      </c>
      <c r="N46" s="100">
        <f>$O$43*$O$42/100</f>
        <v>1.2800000000000001E-2</v>
      </c>
      <c r="O46" s="287" t="str">
        <f>IF(VLOOKUP(Q$12,Hypothèses!E12:E17,1,0)=Hypothèses!E16,N46*$G$11,"N/A")</f>
        <v>N/A</v>
      </c>
      <c r="P46" s="96"/>
      <c r="Q46" s="97" t="s">
        <v>54</v>
      </c>
      <c r="R46" s="146" t="str">
        <f>IF(VLOOKUP(Q$12,Hypothèses!E12:E17,1,0)=Hypothèses!E16,N46*$Q$13,"N/A")</f>
        <v>N/A</v>
      </c>
      <c r="S46" s="98">
        <f>IF(R46="N/A", 0, R46/$Q$13)</f>
        <v>0</v>
      </c>
      <c r="T46" s="99">
        <f>IF(R46="N/A",0,R46/$R$79)</f>
        <v>0</v>
      </c>
      <c r="U46" s="19"/>
      <c r="V46" s="339"/>
      <c r="W46" s="19"/>
      <c r="X46" s="250"/>
      <c r="Y46" s="27"/>
      <c r="Z46" s="27"/>
    </row>
    <row r="47" spans="2:26" ht="15.75" thickBot="1" x14ac:dyDescent="0.3">
      <c r="B47" s="330"/>
      <c r="C47" s="10"/>
      <c r="D47" s="101"/>
      <c r="E47" s="283"/>
      <c r="F47" s="93"/>
      <c r="G47" s="102"/>
      <c r="H47" s="142"/>
      <c r="I47" s="103"/>
      <c r="J47" s="92"/>
      <c r="K47" s="84"/>
      <c r="L47" s="330"/>
      <c r="M47" s="10"/>
      <c r="N47" s="101"/>
      <c r="O47" s="283"/>
      <c r="P47" s="93"/>
      <c r="Q47" s="102"/>
      <c r="R47" s="142"/>
      <c r="S47" s="103"/>
      <c r="T47" s="92"/>
      <c r="U47" s="19"/>
      <c r="V47" s="338"/>
      <c r="W47" s="19"/>
      <c r="X47" s="250"/>
      <c r="Y47" s="27"/>
      <c r="Z47" s="27"/>
    </row>
    <row r="48" spans="2:26" ht="15.75" thickBot="1" x14ac:dyDescent="0.3">
      <c r="B48" s="330"/>
      <c r="C48" s="105" t="s">
        <v>77</v>
      </c>
      <c r="D48" s="106"/>
      <c r="E48" s="302"/>
      <c r="F48" s="107"/>
      <c r="G48" s="108"/>
      <c r="H48" s="143"/>
      <c r="I48" s="109"/>
      <c r="J48" s="110"/>
      <c r="K48" s="84"/>
      <c r="L48" s="330"/>
      <c r="M48" s="105" t="s">
        <v>77</v>
      </c>
      <c r="N48" s="106"/>
      <c r="O48" s="302"/>
      <c r="P48" s="107"/>
      <c r="Q48" s="108"/>
      <c r="R48" s="143"/>
      <c r="S48" s="109"/>
      <c r="T48" s="110"/>
      <c r="U48" s="19"/>
      <c r="V48" s="338"/>
      <c r="W48" s="19"/>
      <c r="X48" s="250"/>
      <c r="Y48" s="27"/>
      <c r="Z48" s="27"/>
    </row>
    <row r="49" spans="2:26" x14ac:dyDescent="0.25">
      <c r="B49" s="330"/>
      <c r="C49" s="9" t="s">
        <v>80</v>
      </c>
      <c r="D49" s="182"/>
      <c r="E49" s="285">
        <f>IF(D49="",F49,D49)</f>
        <v>4.7</v>
      </c>
      <c r="F49" s="79">
        <v>4.7</v>
      </c>
      <c r="G49" s="90" t="s">
        <v>46</v>
      </c>
      <c r="H49" s="142"/>
      <c r="I49" s="89"/>
      <c r="J49" s="94"/>
      <c r="K49" s="84"/>
      <c r="L49" s="330"/>
      <c r="M49" s="9" t="s">
        <v>80</v>
      </c>
      <c r="N49" s="182"/>
      <c r="O49" s="285">
        <f>IF(N49="",P49,N49)</f>
        <v>4.7</v>
      </c>
      <c r="P49" s="79">
        <v>4.7</v>
      </c>
      <c r="Q49" s="90" t="s">
        <v>46</v>
      </c>
      <c r="R49" s="142"/>
      <c r="S49" s="89"/>
      <c r="T49" s="94"/>
      <c r="U49" s="19"/>
      <c r="V49" s="338"/>
      <c r="W49" s="19"/>
      <c r="X49" s="250"/>
      <c r="Y49" s="27"/>
      <c r="Z49" s="27"/>
    </row>
    <row r="50" spans="2:26" ht="15.75" thickBot="1" x14ac:dyDescent="0.3">
      <c r="B50" s="330"/>
      <c r="C50" s="9" t="s">
        <v>64</v>
      </c>
      <c r="D50" s="70"/>
      <c r="E50" s="286">
        <f>IF(D50="",F50,D50)</f>
        <v>1.35</v>
      </c>
      <c r="F50" s="199">
        <v>1.35</v>
      </c>
      <c r="G50" s="80" t="s">
        <v>85</v>
      </c>
      <c r="H50" s="145"/>
      <c r="I50" s="27"/>
      <c r="J50" s="104"/>
      <c r="K50" s="84"/>
      <c r="L50" s="330"/>
      <c r="M50" s="9" t="s">
        <v>64</v>
      </c>
      <c r="N50" s="70"/>
      <c r="O50" s="286">
        <f>IF(N50="",P50,N50)</f>
        <v>1.35</v>
      </c>
      <c r="P50" s="199">
        <v>1.35</v>
      </c>
      <c r="Q50" s="80" t="s">
        <v>85</v>
      </c>
      <c r="R50" s="145"/>
      <c r="S50" s="27"/>
      <c r="T50" s="104"/>
      <c r="U50" s="19"/>
      <c r="V50" s="338"/>
      <c r="W50" s="19"/>
      <c r="X50" s="250"/>
      <c r="Y50" s="27"/>
      <c r="Z50" s="27"/>
    </row>
    <row r="51" spans="2:26" ht="15.75" thickBot="1" x14ac:dyDescent="0.3">
      <c r="B51" s="330"/>
      <c r="C51" s="95" t="s">
        <v>74</v>
      </c>
      <c r="D51" s="187">
        <f>$E$50*$E$49/100</f>
        <v>6.3450000000000006E-2</v>
      </c>
      <c r="E51" s="287" t="str">
        <f>IF(VLOOKUP(G$12,Hypothèses!C12:C17,1,0)=Hypothèses!C15,D51*$G$11,"N/A")</f>
        <v>N/A</v>
      </c>
      <c r="F51" s="96"/>
      <c r="G51" s="97" t="s">
        <v>54</v>
      </c>
      <c r="H51" s="144" t="str">
        <f>IF(VLOOKUP(G$12,Hypothèses!C12:C17,1,0)=Hypothèses!C15,D51*$G$13,"N/A")</f>
        <v>N/A</v>
      </c>
      <c r="I51" s="98">
        <f>IF(H51="N/A", 0, H51/$G$13)</f>
        <v>0</v>
      </c>
      <c r="J51" s="99">
        <f>IF(H51="N/A",0,H51/$H$79)</f>
        <v>0</v>
      </c>
      <c r="K51" s="84"/>
      <c r="L51" s="330"/>
      <c r="M51" s="95" t="s">
        <v>74</v>
      </c>
      <c r="N51" s="38">
        <f>$O$50*$O$49/100</f>
        <v>6.3450000000000006E-2</v>
      </c>
      <c r="O51" s="287">
        <f>IF(VLOOKUP(Q$12,Hypothèses!E12:E17,1,0)=Hypothèses!E15,N51*$G$11,"N/A")</f>
        <v>6.3450000000000006E-2</v>
      </c>
      <c r="P51" s="96"/>
      <c r="Q51" s="97" t="s">
        <v>54</v>
      </c>
      <c r="R51" s="144">
        <f>IF(VLOOKUP(Q$12,Hypothèses!E12:E17,1,0)=Hypothèses!E15,N51*$Q$13,"N/A")</f>
        <v>1269.0000000000002</v>
      </c>
      <c r="S51" s="98">
        <f>IF(R51="N/A", 0, R51/$Q$13)</f>
        <v>6.3450000000000006E-2</v>
      </c>
      <c r="T51" s="99">
        <f>IF(R51="N/A",0,R51/$R$79)</f>
        <v>0.16664478003939595</v>
      </c>
      <c r="U51" s="19"/>
      <c r="V51" s="339"/>
      <c r="W51" s="19"/>
      <c r="X51" s="250"/>
      <c r="Y51" s="27"/>
      <c r="Z51" s="27"/>
    </row>
    <row r="52" spans="2:26" ht="15.75" thickBot="1" x14ac:dyDescent="0.3">
      <c r="B52" s="330"/>
      <c r="C52" s="10"/>
      <c r="D52" s="101"/>
      <c r="E52" s="283"/>
      <c r="F52" s="93"/>
      <c r="G52" s="102"/>
      <c r="H52" s="142"/>
      <c r="I52" s="103"/>
      <c r="J52" s="92"/>
      <c r="K52" s="84"/>
      <c r="L52" s="330"/>
      <c r="M52" s="10"/>
      <c r="N52" s="101"/>
      <c r="O52" s="283"/>
      <c r="P52" s="93"/>
      <c r="Q52" s="102"/>
      <c r="R52" s="142"/>
      <c r="S52" s="103"/>
      <c r="T52" s="92"/>
      <c r="U52" s="19"/>
      <c r="V52" s="338"/>
      <c r="W52" s="19"/>
      <c r="X52" s="250"/>
      <c r="Y52" s="27"/>
      <c r="Z52" s="27"/>
    </row>
    <row r="53" spans="2:26" ht="15.75" thickBot="1" x14ac:dyDescent="0.3">
      <c r="B53" s="330"/>
      <c r="C53" s="105" t="s">
        <v>76</v>
      </c>
      <c r="D53" s="106"/>
      <c r="E53" s="302"/>
      <c r="F53" s="107"/>
      <c r="G53" s="108"/>
      <c r="H53" s="143"/>
      <c r="I53" s="109"/>
      <c r="J53" s="110"/>
      <c r="K53" s="84"/>
      <c r="L53" s="330"/>
      <c r="M53" s="105" t="s">
        <v>76</v>
      </c>
      <c r="N53" s="106"/>
      <c r="O53" s="302"/>
      <c r="P53" s="107"/>
      <c r="Q53" s="108"/>
      <c r="R53" s="143"/>
      <c r="S53" s="109"/>
      <c r="T53" s="110"/>
      <c r="U53" s="19"/>
      <c r="V53" s="338"/>
      <c r="W53" s="19"/>
      <c r="X53" s="250"/>
      <c r="Y53" s="27"/>
      <c r="Z53" s="27"/>
    </row>
    <row r="54" spans="2:26" ht="13.5" customHeight="1" x14ac:dyDescent="0.25">
      <c r="B54" s="330"/>
      <c r="C54" s="9" t="s">
        <v>79</v>
      </c>
      <c r="D54" s="182"/>
      <c r="E54" s="285">
        <f>IF(D54="",F54,D54)</f>
        <v>20</v>
      </c>
      <c r="F54" s="79">
        <v>20</v>
      </c>
      <c r="G54" s="90" t="s">
        <v>75</v>
      </c>
      <c r="H54" s="142"/>
      <c r="I54" s="89"/>
      <c r="J54" s="94"/>
      <c r="K54" s="84"/>
      <c r="L54" s="330"/>
      <c r="M54" s="9" t="s">
        <v>79</v>
      </c>
      <c r="N54" s="182"/>
      <c r="O54" s="285">
        <f>IF(N54="",P54,N54)</f>
        <v>20</v>
      </c>
      <c r="P54" s="79">
        <v>20</v>
      </c>
      <c r="Q54" s="90" t="s">
        <v>75</v>
      </c>
      <c r="R54" s="142"/>
      <c r="S54" s="89"/>
      <c r="T54" s="94"/>
      <c r="U54" s="19"/>
      <c r="V54" s="338"/>
      <c r="W54" s="19"/>
      <c r="X54" s="250"/>
      <c r="Y54" s="27"/>
      <c r="Z54" s="27"/>
    </row>
    <row r="55" spans="2:26" x14ac:dyDescent="0.25">
      <c r="B55" s="330"/>
      <c r="C55" s="10" t="s">
        <v>95</v>
      </c>
      <c r="D55" s="70"/>
      <c r="E55" s="286">
        <f>IF(D55="",F55,D55)</f>
        <v>0.08</v>
      </c>
      <c r="F55" s="199">
        <v>0.08</v>
      </c>
      <c r="G55" s="80" t="s">
        <v>73</v>
      </c>
      <c r="H55" s="142"/>
      <c r="I55" s="89"/>
      <c r="J55" s="94"/>
      <c r="K55" s="84"/>
      <c r="L55" s="330"/>
      <c r="M55" s="10" t="s">
        <v>95</v>
      </c>
      <c r="N55" s="70"/>
      <c r="O55" s="286">
        <f>IF(N55="",P55,N55)</f>
        <v>0.08</v>
      </c>
      <c r="P55" s="199">
        <v>0.08</v>
      </c>
      <c r="Q55" s="80" t="s">
        <v>73</v>
      </c>
      <c r="R55" s="142"/>
      <c r="S55" s="89"/>
      <c r="T55" s="94"/>
      <c r="U55" s="19"/>
      <c r="V55" s="338"/>
      <c r="W55" s="19"/>
      <c r="X55" s="250"/>
      <c r="Y55" s="27"/>
      <c r="Z55" s="27"/>
    </row>
    <row r="56" spans="2:26" x14ac:dyDescent="0.25">
      <c r="B56" s="330"/>
      <c r="C56" s="10" t="s">
        <v>97</v>
      </c>
      <c r="D56" s="116"/>
      <c r="E56" s="285">
        <f>IF(D56="",F56,D56)</f>
        <v>60</v>
      </c>
      <c r="F56" s="79">
        <v>60</v>
      </c>
      <c r="G56" s="80" t="s">
        <v>98</v>
      </c>
      <c r="H56" s="142"/>
      <c r="I56" s="89"/>
      <c r="J56" s="94"/>
      <c r="K56" s="84"/>
      <c r="L56" s="330"/>
      <c r="M56" s="10" t="s">
        <v>97</v>
      </c>
      <c r="N56" s="116"/>
      <c r="O56" s="285">
        <f>IF(N56="",P56,N56)</f>
        <v>60</v>
      </c>
      <c r="P56" s="79">
        <v>60</v>
      </c>
      <c r="Q56" s="80" t="s">
        <v>98</v>
      </c>
      <c r="R56" s="142"/>
      <c r="S56" s="89"/>
      <c r="T56" s="94"/>
      <c r="U56" s="19"/>
      <c r="V56" s="338"/>
      <c r="W56" s="19"/>
      <c r="X56" s="250"/>
      <c r="Y56" s="27"/>
      <c r="Z56" s="27"/>
    </row>
    <row r="57" spans="2:26" ht="26.25" customHeight="1" thickBot="1" x14ac:dyDescent="0.3">
      <c r="B57" s="330"/>
      <c r="C57" s="173" t="s">
        <v>124</v>
      </c>
      <c r="D57" s="116"/>
      <c r="E57" s="285">
        <f>IF(D57="",F57,D57)</f>
        <v>75</v>
      </c>
      <c r="F57" s="184">
        <v>75</v>
      </c>
      <c r="G57" s="80" t="s">
        <v>125</v>
      </c>
      <c r="H57" s="142"/>
      <c r="I57" s="89"/>
      <c r="J57" s="94"/>
      <c r="K57" s="84"/>
      <c r="L57" s="330"/>
      <c r="M57" s="173" t="s">
        <v>124</v>
      </c>
      <c r="N57" s="116"/>
      <c r="O57" s="285">
        <f>IF(N57="",P57,N57)</f>
        <v>75</v>
      </c>
      <c r="P57" s="184">
        <v>75</v>
      </c>
      <c r="Q57" s="80" t="s">
        <v>125</v>
      </c>
      <c r="R57" s="142"/>
      <c r="S57" s="89"/>
      <c r="T57" s="94"/>
      <c r="U57" s="19"/>
      <c r="V57" s="338"/>
      <c r="W57" s="19"/>
      <c r="X57" s="250"/>
      <c r="Y57" s="27"/>
      <c r="Z57" s="27"/>
    </row>
    <row r="58" spans="2:26" ht="15.75" thickBot="1" x14ac:dyDescent="0.3">
      <c r="B58" s="330"/>
      <c r="C58" s="10" t="s">
        <v>100</v>
      </c>
      <c r="D58" s="135">
        <f>E56/E57</f>
        <v>0.8</v>
      </c>
      <c r="E58" s="313" t="str">
        <f>IF(VLOOKUP(G$12,Hypothèses!C12:C17,1,0)=Hypothèses!C17,D58*$G$11,"N/A")</f>
        <v>N/A</v>
      </c>
      <c r="F58" s="134"/>
      <c r="G58" s="80" t="s">
        <v>101</v>
      </c>
      <c r="H58" s="142"/>
      <c r="I58" s="89"/>
      <c r="J58" s="94"/>
      <c r="K58" s="84"/>
      <c r="L58" s="330"/>
      <c r="M58" s="10" t="s">
        <v>100</v>
      </c>
      <c r="N58" s="135">
        <f>O56/O57</f>
        <v>0.8</v>
      </c>
      <c r="O58" s="289" t="str">
        <f>IF(VLOOKUP(Q$12,Hypothèses!E12:E17,1,0)=Hypothèses!E17,N58*$G$11,"N/A")</f>
        <v>N/A</v>
      </c>
      <c r="P58" s="134"/>
      <c r="Q58" s="80" t="s">
        <v>101</v>
      </c>
      <c r="R58" s="142"/>
      <c r="S58" s="89"/>
      <c r="T58" s="94"/>
      <c r="U58" s="19"/>
      <c r="V58" s="338"/>
      <c r="W58" s="19"/>
      <c r="X58" s="250"/>
      <c r="Y58" s="27"/>
      <c r="Z58" s="27"/>
    </row>
    <row r="59" spans="2:26" x14ac:dyDescent="0.25">
      <c r="B59" s="330"/>
      <c r="C59" s="10" t="s">
        <v>89</v>
      </c>
      <c r="D59" s="239">
        <f>$E$55*$E$54/100*D58</f>
        <v>1.2800000000000001E-2</v>
      </c>
      <c r="E59" s="314" t="str">
        <f>IF(VLOOKUP(G$12,Hypothèses!C12:C17,1,0)=Hypothèses!C17,D59*$G$11,"N/A")</f>
        <v>N/A</v>
      </c>
      <c r="F59" s="238"/>
      <c r="G59" s="86" t="s">
        <v>54</v>
      </c>
      <c r="H59" s="152" t="str">
        <f>IF(VLOOKUP(G$12,Hypothèses!C12:C17,1,0)=Hypothèses!C17,D59*$G$13,"N/A")</f>
        <v>N/A</v>
      </c>
      <c r="I59" s="240">
        <f>IF(H59="N/A", 0, H59/$G$13)</f>
        <v>0</v>
      </c>
      <c r="J59" s="241">
        <f>IF(H59="N/A",0,H59/$H$79)</f>
        <v>0</v>
      </c>
      <c r="K59" s="84"/>
      <c r="L59" s="330"/>
      <c r="M59" s="10" t="s">
        <v>89</v>
      </c>
      <c r="N59" s="239">
        <f>$O$55*$O$54/100*N58</f>
        <v>1.2800000000000001E-2</v>
      </c>
      <c r="O59" s="314" t="str">
        <f>IF(VLOOKUP(Q$12,Hypothèses!E12:E17,1,0)=Hypothèses!E17,N59*$G$11,"N/A")</f>
        <v>N/A</v>
      </c>
      <c r="P59" s="238"/>
      <c r="Q59" s="86" t="s">
        <v>54</v>
      </c>
      <c r="R59" s="152" t="str">
        <f>IF(VLOOKUP(Q$12,Hypothèses!E12:E17,1,0)=Hypothèses!E17,N59*$Q$13,"N/A")</f>
        <v>N/A</v>
      </c>
      <c r="S59" s="240">
        <f>IF(R59="N/A", 0, R59/$Q$13)</f>
        <v>0</v>
      </c>
      <c r="T59" s="241">
        <f>IF(R59="N/A",0,R59/$R$79)</f>
        <v>0</v>
      </c>
      <c r="U59" s="19"/>
      <c r="V59" s="338"/>
      <c r="W59" s="19"/>
      <c r="X59" s="250"/>
      <c r="Y59" s="27"/>
      <c r="Z59" s="27"/>
    </row>
    <row r="60" spans="2:26" ht="15.75" thickBot="1" x14ac:dyDescent="0.3">
      <c r="B60" s="330"/>
      <c r="C60" s="10" t="s">
        <v>140</v>
      </c>
      <c r="D60" s="197"/>
      <c r="E60" s="285">
        <f>IF(D60="",F60,D60)</f>
        <v>7</v>
      </c>
      <c r="F60" s="79">
        <v>7</v>
      </c>
      <c r="G60" s="80"/>
      <c r="H60" s="145"/>
      <c r="I60" s="232"/>
      <c r="J60" s="104"/>
      <c r="K60" s="84"/>
      <c r="L60" s="330"/>
      <c r="M60" s="10" t="s">
        <v>140</v>
      </c>
      <c r="N60" s="197"/>
      <c r="O60" s="285">
        <f>IF(N60="",P60,N60)</f>
        <v>7</v>
      </c>
      <c r="P60" s="79">
        <v>7</v>
      </c>
      <c r="Q60" s="80"/>
      <c r="R60" s="145"/>
      <c r="S60" s="232"/>
      <c r="T60" s="104"/>
      <c r="U60" s="19"/>
      <c r="V60" s="338"/>
      <c r="W60" s="19"/>
      <c r="X60" s="250"/>
      <c r="Y60" s="27"/>
      <c r="Z60" s="27"/>
    </row>
    <row r="61" spans="2:26" x14ac:dyDescent="0.25">
      <c r="B61" s="330"/>
      <c r="C61" s="136" t="s">
        <v>138</v>
      </c>
      <c r="D61" s="242"/>
      <c r="E61" s="315">
        <f>IF(D61="",F61,D61)</f>
        <v>15000</v>
      </c>
      <c r="F61" s="243">
        <v>15000</v>
      </c>
      <c r="G61" s="244" t="s">
        <v>139</v>
      </c>
      <c r="H61" s="245" t="str">
        <f>IF(VLOOKUP(G$12,Hypothèses!C12:C17,1,0)=Hypothèses!C17,E61/E60/$G$14,"N/A")</f>
        <v>N/A</v>
      </c>
      <c r="I61" s="246">
        <f>IF(H61="N/A", 0, E61/E60/($G$14*$G$13))</f>
        <v>0</v>
      </c>
      <c r="J61" s="247">
        <f>IF(H61="N/A",0,H61/$H$79)</f>
        <v>0</v>
      </c>
      <c r="K61" s="84"/>
      <c r="L61" s="330"/>
      <c r="M61" s="136" t="s">
        <v>138</v>
      </c>
      <c r="N61" s="242"/>
      <c r="O61" s="315">
        <f>IF(N61="",P61,N61)</f>
        <v>15000</v>
      </c>
      <c r="P61" s="243">
        <v>15000</v>
      </c>
      <c r="Q61" s="244" t="s">
        <v>139</v>
      </c>
      <c r="R61" s="245" t="str">
        <f>IF(VLOOKUP(Q$12,Hypothèses!E12:E17,1,0)=Hypothèses!E17,O61/O60/$Q$14,"N/A")</f>
        <v>N/A</v>
      </c>
      <c r="S61" s="246">
        <f>IF(R61="N/A", 0, O61/O60/($Q$14*$Q$13))</f>
        <v>0</v>
      </c>
      <c r="T61" s="247">
        <f>IF(R61="N/A",0,R61/$H$79)</f>
        <v>0</v>
      </c>
      <c r="U61" s="19"/>
      <c r="V61" s="338"/>
      <c r="W61" s="19"/>
      <c r="X61" s="250"/>
      <c r="Y61" s="27"/>
      <c r="Z61" s="27"/>
    </row>
    <row r="62" spans="2:26" x14ac:dyDescent="0.25">
      <c r="B62" s="330"/>
      <c r="C62" s="9" t="s">
        <v>81</v>
      </c>
      <c r="D62" s="116"/>
      <c r="E62" s="285">
        <f>IF(D62="",F62,D62)</f>
        <v>6.4</v>
      </c>
      <c r="F62" s="79">
        <v>6.4</v>
      </c>
      <c r="G62" s="90" t="s">
        <v>46</v>
      </c>
      <c r="H62" s="142"/>
      <c r="I62" s="89"/>
      <c r="J62" s="94"/>
      <c r="K62" s="84"/>
      <c r="L62" s="330"/>
      <c r="M62" s="9" t="s">
        <v>81</v>
      </c>
      <c r="N62" s="116"/>
      <c r="O62" s="285">
        <f>IF(N62="",P62,N62)</f>
        <v>6.4</v>
      </c>
      <c r="P62" s="79">
        <v>6.4</v>
      </c>
      <c r="Q62" s="90" t="s">
        <v>46</v>
      </c>
      <c r="R62" s="142"/>
      <c r="S62" s="89"/>
      <c r="T62" s="94"/>
      <c r="U62" s="19"/>
      <c r="V62" s="338"/>
      <c r="W62" s="19"/>
      <c r="X62" s="250"/>
      <c r="Y62" s="27"/>
      <c r="Z62" s="27"/>
    </row>
    <row r="63" spans="2:26" ht="15.75" thickBot="1" x14ac:dyDescent="0.3">
      <c r="B63" s="330"/>
      <c r="C63" s="9" t="s">
        <v>64</v>
      </c>
      <c r="D63" s="70"/>
      <c r="E63" s="286">
        <f>IF(D63="",F63,D63)</f>
        <v>1.35</v>
      </c>
      <c r="F63" s="199">
        <v>1.35</v>
      </c>
      <c r="G63" s="91" t="s">
        <v>52</v>
      </c>
      <c r="H63" s="142"/>
      <c r="I63" s="89"/>
      <c r="J63" s="94"/>
      <c r="K63" s="84"/>
      <c r="L63" s="330"/>
      <c r="M63" s="9" t="s">
        <v>64</v>
      </c>
      <c r="N63" s="70"/>
      <c r="O63" s="286">
        <f>IF(N63="",P63,N63)</f>
        <v>1.35</v>
      </c>
      <c r="P63" s="199">
        <v>1.35</v>
      </c>
      <c r="Q63" s="91" t="s">
        <v>52</v>
      </c>
      <c r="R63" s="142"/>
      <c r="S63" s="89"/>
      <c r="T63" s="94"/>
      <c r="U63" s="19"/>
      <c r="V63" s="338"/>
      <c r="W63" s="19"/>
      <c r="X63" s="250"/>
      <c r="Y63" s="27"/>
      <c r="Z63" s="27"/>
    </row>
    <row r="64" spans="2:26" ht="15.75" thickBot="1" x14ac:dyDescent="0.3">
      <c r="B64" s="330"/>
      <c r="C64" s="10" t="s">
        <v>102</v>
      </c>
      <c r="D64" s="135">
        <f>(1-D58)</f>
        <v>0.19999999999999996</v>
      </c>
      <c r="E64" s="313" t="str">
        <f>IF(VLOOKUP(G$12,Hypothèses!C12:C17,1,0)=Hypothèses!C17,D64*$G$11,"N/A")</f>
        <v>N/A</v>
      </c>
      <c r="F64" s="189"/>
      <c r="G64" s="80" t="s">
        <v>101</v>
      </c>
      <c r="H64" s="142"/>
      <c r="I64" s="89"/>
      <c r="J64" s="94"/>
      <c r="K64" s="84"/>
      <c r="L64" s="330"/>
      <c r="M64" s="10" t="s">
        <v>102</v>
      </c>
      <c r="N64" s="135">
        <f>(1-N58)</f>
        <v>0.19999999999999996</v>
      </c>
      <c r="O64" s="289" t="str">
        <f>IF(VLOOKUP(Q$12,Hypothèses!E12:E17,1,0)=Hypothèses!E21,N64*$G$11,"N/A")</f>
        <v>N/A</v>
      </c>
      <c r="P64" s="134"/>
      <c r="Q64" s="80" t="s">
        <v>101</v>
      </c>
      <c r="R64" s="142"/>
      <c r="S64" s="89"/>
      <c r="T64" s="94"/>
      <c r="U64" s="19"/>
      <c r="V64" s="338"/>
      <c r="W64" s="19"/>
      <c r="X64" s="250"/>
      <c r="Y64" s="27"/>
      <c r="Z64" s="27"/>
    </row>
    <row r="65" spans="2:26" ht="15.75" thickBot="1" x14ac:dyDescent="0.3">
      <c r="B65" s="330"/>
      <c r="C65" s="95" t="s">
        <v>44</v>
      </c>
      <c r="D65" s="187">
        <f>E63*E62/100*D64</f>
        <v>1.7279999999999997E-2</v>
      </c>
      <c r="E65" s="287" t="str">
        <f>IF(VLOOKUP(G$12,Hypothèses!C12:C17,1,0)=Hypothèses!C17,D65*$G$11,"N/A")</f>
        <v>N/A</v>
      </c>
      <c r="F65" s="96"/>
      <c r="G65" s="97" t="s">
        <v>54</v>
      </c>
      <c r="H65" s="144" t="str">
        <f>IF(VLOOKUP(G$12,Hypothèses!C12:C17,1,0)=Hypothèses!C17,D65*$G$13,"N/A")</f>
        <v>N/A</v>
      </c>
      <c r="I65" s="98">
        <f>IF(H65="N/A", 0, H65/$G$13)</f>
        <v>0</v>
      </c>
      <c r="J65" s="99">
        <f>IF(H65="N/A",0,H65/$H$79)</f>
        <v>0</v>
      </c>
      <c r="K65" s="84"/>
      <c r="L65" s="330"/>
      <c r="M65" s="95" t="s">
        <v>74</v>
      </c>
      <c r="N65" s="38">
        <f>O63*O62/100*N64</f>
        <v>1.7279999999999997E-2</v>
      </c>
      <c r="O65" s="319" t="str">
        <f>IF(VLOOKUP(Q$12,Hypothèses!E12:E17,1,0)=Hypothèses!E21,N65*$G$11,"N/A")</f>
        <v>N/A</v>
      </c>
      <c r="P65" s="96"/>
      <c r="Q65" s="97" t="s">
        <v>54</v>
      </c>
      <c r="R65" s="144" t="str">
        <f>IF(VLOOKUP(Q$12,Hypothèses!E12:E17,1,0)=Hypothèses!E17,N65*$Q$13,"N/A")</f>
        <v>N/A</v>
      </c>
      <c r="S65" s="98">
        <f>IF(R65="N/A", 0, R65/$Q$13)</f>
        <v>0</v>
      </c>
      <c r="T65" s="99">
        <f>IF(R65="N/A",0,R65/$R$79)</f>
        <v>0</v>
      </c>
      <c r="U65" s="19"/>
      <c r="V65" s="336">
        <f>SUM(H29:H65)-SUM(R29:R65)</f>
        <v>134.99999999999977</v>
      </c>
      <c r="W65" s="19" t="s">
        <v>153</v>
      </c>
      <c r="X65" s="250"/>
      <c r="Y65" s="27"/>
      <c r="Z65" s="27"/>
    </row>
    <row r="66" spans="2:26" ht="15.75" thickBot="1" x14ac:dyDescent="0.3">
      <c r="B66" s="330"/>
      <c r="C66" s="10"/>
      <c r="D66" s="101"/>
      <c r="E66" s="283"/>
      <c r="F66" s="93"/>
      <c r="G66" s="102"/>
      <c r="H66" s="142"/>
      <c r="I66" s="103"/>
      <c r="J66" s="92"/>
      <c r="K66" s="84"/>
      <c r="L66" s="330"/>
      <c r="M66" s="10"/>
      <c r="N66" s="101"/>
      <c r="O66" s="283"/>
      <c r="P66" s="93"/>
      <c r="Q66" s="102"/>
      <c r="R66" s="142"/>
      <c r="S66" s="103"/>
      <c r="T66" s="92"/>
      <c r="U66" s="19"/>
      <c r="V66" s="338"/>
      <c r="W66" s="19"/>
      <c r="X66" s="250"/>
      <c r="Y66" s="27"/>
      <c r="Z66" s="27"/>
    </row>
    <row r="67" spans="2:26" ht="30.75" thickBot="1" x14ac:dyDescent="0.3">
      <c r="B67" s="330"/>
      <c r="C67" s="253" t="s">
        <v>144</v>
      </c>
      <c r="D67" s="188">
        <v>2</v>
      </c>
      <c r="E67" s="316"/>
      <c r="F67" s="122"/>
      <c r="G67" s="120" t="s">
        <v>18</v>
      </c>
      <c r="H67" s="148"/>
      <c r="I67" s="123"/>
      <c r="J67" s="121"/>
      <c r="K67" s="84"/>
      <c r="L67" s="330"/>
      <c r="M67" s="253" t="s">
        <v>144</v>
      </c>
      <c r="N67" s="36">
        <v>2</v>
      </c>
      <c r="O67" s="290"/>
      <c r="P67" s="122"/>
      <c r="Q67" s="120" t="s">
        <v>18</v>
      </c>
      <c r="R67" s="148"/>
      <c r="S67" s="123"/>
      <c r="T67" s="121"/>
      <c r="U67" s="19"/>
      <c r="V67" s="338"/>
      <c r="W67" s="19"/>
      <c r="X67" s="250"/>
      <c r="Y67" s="27"/>
      <c r="Z67" s="27"/>
    </row>
    <row r="68" spans="2:26" ht="30.75" thickBot="1" x14ac:dyDescent="0.3">
      <c r="B68" s="330"/>
      <c r="C68" s="254" t="s">
        <v>145</v>
      </c>
      <c r="D68" s="42">
        <v>100</v>
      </c>
      <c r="E68" s="303"/>
      <c r="F68" s="74"/>
      <c r="G68" s="46"/>
      <c r="H68" s="141">
        <f>D67*D68*$G$11</f>
        <v>200</v>
      </c>
      <c r="I68" s="47">
        <f>D68/($G$13)</f>
        <v>5.0000000000000001E-3</v>
      </c>
      <c r="J68" s="115">
        <f>H68/$H$79</f>
        <v>2.8673835125448029E-2</v>
      </c>
      <c r="K68" s="84"/>
      <c r="L68" s="330"/>
      <c r="M68" s="254" t="s">
        <v>145</v>
      </c>
      <c r="N68" s="42">
        <v>100</v>
      </c>
      <c r="O68" s="303"/>
      <c r="P68" s="74"/>
      <c r="Q68" s="46"/>
      <c r="R68" s="141">
        <f>N67*N68*$Q$11</f>
        <v>200</v>
      </c>
      <c r="S68" s="47">
        <f>N68/($Q$13)</f>
        <v>5.0000000000000001E-3</v>
      </c>
      <c r="T68" s="115">
        <f>R68/$R$79</f>
        <v>2.6263952724885097E-2</v>
      </c>
      <c r="U68" s="19"/>
      <c r="V68" s="334">
        <f t="shared" ref="V68" si="5">H68-R68</f>
        <v>0</v>
      </c>
      <c r="W68" s="19" t="s">
        <v>117</v>
      </c>
      <c r="X68" s="250"/>
      <c r="Y68" s="27"/>
      <c r="Z68" s="27"/>
    </row>
    <row r="69" spans="2:26" ht="15.75" thickBot="1" x14ac:dyDescent="0.3">
      <c r="B69" s="330"/>
      <c r="C69" s="255" t="s">
        <v>146</v>
      </c>
      <c r="D69" s="251">
        <v>0.5</v>
      </c>
      <c r="E69" s="317"/>
      <c r="F69" s="73"/>
      <c r="G69" s="90" t="s">
        <v>115</v>
      </c>
      <c r="H69" s="150"/>
      <c r="I69" s="174"/>
      <c r="J69" s="124"/>
      <c r="K69" s="84"/>
      <c r="L69" s="330"/>
      <c r="M69" s="255" t="s">
        <v>146</v>
      </c>
      <c r="N69" s="172">
        <v>2</v>
      </c>
      <c r="O69" s="303"/>
      <c r="P69" s="74"/>
      <c r="Q69" s="90" t="s">
        <v>115</v>
      </c>
      <c r="R69" s="150"/>
      <c r="S69" s="174"/>
      <c r="T69" s="124"/>
      <c r="U69" s="19"/>
      <c r="V69" s="338"/>
      <c r="W69" s="19"/>
      <c r="X69" s="250"/>
      <c r="Y69" s="27"/>
      <c r="Z69" s="27"/>
    </row>
    <row r="70" spans="2:26" ht="15.75" thickBot="1" x14ac:dyDescent="0.3">
      <c r="B70" s="330"/>
      <c r="C70" s="256" t="s">
        <v>147</v>
      </c>
      <c r="D70" s="172">
        <v>250</v>
      </c>
      <c r="E70" s="303"/>
      <c r="F70" s="74"/>
      <c r="G70" s="9"/>
      <c r="H70" s="141">
        <f>D69*D70*$G$11</f>
        <v>125</v>
      </c>
      <c r="I70" s="47">
        <f>D70/($G$13)</f>
        <v>1.2500000000000001E-2</v>
      </c>
      <c r="J70" s="115">
        <f>H70/$H$79</f>
        <v>1.7921146953405017E-2</v>
      </c>
      <c r="K70" s="84"/>
      <c r="L70" s="330"/>
      <c r="M70" s="256" t="s">
        <v>147</v>
      </c>
      <c r="N70" s="172">
        <v>250</v>
      </c>
      <c r="O70" s="303"/>
      <c r="P70" s="74"/>
      <c r="Q70" s="86"/>
      <c r="R70" s="141">
        <f>N69*N70*$Q$11</f>
        <v>500</v>
      </c>
      <c r="S70" s="6">
        <f>N70/($Q$13)</f>
        <v>1.2500000000000001E-2</v>
      </c>
      <c r="T70" s="115">
        <f>R70/$R$79</f>
        <v>6.5659881812212745E-2</v>
      </c>
      <c r="U70" s="19"/>
      <c r="V70" s="334">
        <f t="shared" ref="V70" si="6">H70-R70</f>
        <v>-375</v>
      </c>
      <c r="W70" s="19" t="s">
        <v>116</v>
      </c>
      <c r="X70" s="250"/>
      <c r="Y70" s="27"/>
      <c r="Z70" s="27"/>
    </row>
    <row r="71" spans="2:26" ht="15.75" thickBot="1" x14ac:dyDescent="0.3">
      <c r="B71" s="330"/>
      <c r="C71" s="257" t="s">
        <v>22</v>
      </c>
      <c r="D71" s="37">
        <v>7</v>
      </c>
      <c r="E71" s="291"/>
      <c r="F71" s="73"/>
      <c r="G71" s="90" t="s">
        <v>23</v>
      </c>
      <c r="H71" s="150"/>
      <c r="I71" s="117"/>
      <c r="J71" s="124"/>
      <c r="K71" s="84"/>
      <c r="L71" s="330"/>
      <c r="M71" s="257" t="s">
        <v>22</v>
      </c>
      <c r="N71" s="37">
        <v>7</v>
      </c>
      <c r="O71" s="291"/>
      <c r="P71" s="73"/>
      <c r="Q71" s="90" t="s">
        <v>23</v>
      </c>
      <c r="R71" s="150"/>
      <c r="S71" s="117"/>
      <c r="T71" s="124"/>
      <c r="U71" s="19"/>
      <c r="V71" s="338"/>
      <c r="W71" s="19"/>
      <c r="X71" s="250"/>
      <c r="Y71" s="27"/>
      <c r="Z71" s="27"/>
    </row>
    <row r="72" spans="2:26" ht="15.75" thickBot="1" x14ac:dyDescent="0.3">
      <c r="B72" s="330"/>
      <c r="C72" s="257" t="s">
        <v>19</v>
      </c>
      <c r="D72" s="41">
        <v>30</v>
      </c>
      <c r="E72" s="282"/>
      <c r="F72" s="72"/>
      <c r="G72" s="90" t="s">
        <v>20</v>
      </c>
      <c r="H72" s="151"/>
      <c r="I72" s="118"/>
      <c r="J72" s="125"/>
      <c r="K72" s="84"/>
      <c r="L72" s="330"/>
      <c r="M72" s="257" t="s">
        <v>19</v>
      </c>
      <c r="N72" s="41">
        <v>30</v>
      </c>
      <c r="O72" s="282"/>
      <c r="P72" s="72"/>
      <c r="Q72" s="90" t="s">
        <v>20</v>
      </c>
      <c r="R72" s="151"/>
      <c r="S72" s="118"/>
      <c r="T72" s="125"/>
      <c r="U72" s="19"/>
      <c r="V72" s="338"/>
      <c r="W72" s="19"/>
      <c r="X72" s="250"/>
      <c r="Y72" s="27"/>
      <c r="Z72" s="27"/>
    </row>
    <row r="73" spans="2:26" ht="15.75" thickBot="1" x14ac:dyDescent="0.3">
      <c r="B73" s="330"/>
      <c r="C73" s="257" t="s">
        <v>10</v>
      </c>
      <c r="D73" s="187">
        <f>D71*D72</f>
        <v>210</v>
      </c>
      <c r="E73" s="292"/>
      <c r="F73" s="75"/>
      <c r="G73" s="86"/>
      <c r="H73" s="141">
        <f>D73</f>
        <v>210</v>
      </c>
      <c r="I73" s="47">
        <f>D73/$G$13</f>
        <v>1.0500000000000001E-2</v>
      </c>
      <c r="J73" s="115">
        <f>H73/$H$79</f>
        <v>3.0107526881720432E-2</v>
      </c>
      <c r="K73" s="84"/>
      <c r="L73" s="330"/>
      <c r="M73" s="257" t="s">
        <v>10</v>
      </c>
      <c r="N73" s="187">
        <f>N71*N72</f>
        <v>210</v>
      </c>
      <c r="O73" s="292"/>
      <c r="P73" s="75"/>
      <c r="Q73" s="86"/>
      <c r="R73" s="141">
        <f>N73</f>
        <v>210</v>
      </c>
      <c r="S73" s="47">
        <f>R73/$Q$13</f>
        <v>1.0500000000000001E-2</v>
      </c>
      <c r="T73" s="115">
        <f>R73/$R$79</f>
        <v>2.757715036112935E-2</v>
      </c>
      <c r="U73" s="19"/>
      <c r="V73" s="334">
        <f t="shared" ref="V73:V74" si="7">H73-R73</f>
        <v>0</v>
      </c>
      <c r="W73" s="19" t="s">
        <v>10</v>
      </c>
      <c r="X73" s="250"/>
      <c r="Y73" s="27"/>
      <c r="Z73" s="27"/>
    </row>
    <row r="74" spans="2:26" ht="15.75" thickBot="1" x14ac:dyDescent="0.3">
      <c r="B74" s="330"/>
      <c r="C74" s="257" t="s">
        <v>61</v>
      </c>
      <c r="D74" s="41">
        <v>100</v>
      </c>
      <c r="E74" s="282"/>
      <c r="F74" s="75"/>
      <c r="G74" s="86"/>
      <c r="H74" s="152">
        <f>D74*$G$11</f>
        <v>100</v>
      </c>
      <c r="I74" s="47">
        <f>D74/$G$13</f>
        <v>5.0000000000000001E-3</v>
      </c>
      <c r="J74" s="115">
        <f>H74/$H$79</f>
        <v>1.4336917562724014E-2</v>
      </c>
      <c r="K74" s="84"/>
      <c r="L74" s="330"/>
      <c r="M74" s="257" t="s">
        <v>61</v>
      </c>
      <c r="N74" s="41">
        <v>100</v>
      </c>
      <c r="O74" s="282"/>
      <c r="P74" s="75"/>
      <c r="Q74" s="86"/>
      <c r="R74" s="152">
        <f>N74*$G$11</f>
        <v>100</v>
      </c>
      <c r="S74" s="47">
        <f>R74/$Q$13</f>
        <v>5.0000000000000001E-3</v>
      </c>
      <c r="T74" s="115">
        <f>R74/$R$79</f>
        <v>1.3131976362442548E-2</v>
      </c>
      <c r="U74" s="19"/>
      <c r="V74" s="334">
        <f t="shared" si="7"/>
        <v>0</v>
      </c>
      <c r="W74" s="19" t="s">
        <v>61</v>
      </c>
      <c r="X74" s="250"/>
      <c r="Y74" s="27"/>
      <c r="Z74" s="27"/>
    </row>
    <row r="75" spans="2:26" ht="15.75" thickBot="1" x14ac:dyDescent="0.3">
      <c r="B75" s="330"/>
      <c r="C75" s="257" t="s">
        <v>59</v>
      </c>
      <c r="D75" s="41"/>
      <c r="E75" s="304">
        <f>IF(D75="",F75,D75)</f>
        <v>1000</v>
      </c>
      <c r="F75" s="75">
        <v>1000</v>
      </c>
      <c r="G75" s="90"/>
      <c r="H75" s="153"/>
      <c r="I75" s="119"/>
      <c r="J75" s="126"/>
      <c r="K75" s="84"/>
      <c r="L75" s="330"/>
      <c r="M75" s="257" t="s">
        <v>59</v>
      </c>
      <c r="N75" s="41"/>
      <c r="O75" s="320">
        <f>IF(N75="",P75,N75)</f>
        <v>1000</v>
      </c>
      <c r="P75" s="75">
        <v>1000</v>
      </c>
      <c r="Q75" s="90"/>
      <c r="R75" s="153"/>
      <c r="S75" s="119"/>
      <c r="T75" s="126"/>
      <c r="U75" s="19"/>
      <c r="V75" s="338"/>
      <c r="W75" s="19"/>
      <c r="X75" s="250"/>
      <c r="Y75" s="27"/>
      <c r="Z75" s="27"/>
    </row>
    <row r="76" spans="2:26" ht="15.75" thickBot="1" x14ac:dyDescent="0.3">
      <c r="B76" s="331"/>
      <c r="C76" s="257" t="s">
        <v>141</v>
      </c>
      <c r="D76" s="187">
        <f>(E75/G14)</f>
        <v>200</v>
      </c>
      <c r="E76" s="292"/>
      <c r="F76" s="75"/>
      <c r="G76" s="45"/>
      <c r="H76" s="152">
        <f>D76*$G$11*-1</f>
        <v>-200</v>
      </c>
      <c r="I76" s="48">
        <f>D76/$G$13*-1</f>
        <v>-0.01</v>
      </c>
      <c r="J76" s="115">
        <f>H76/$H$79</f>
        <v>-2.8673835125448029E-2</v>
      </c>
      <c r="K76" s="84"/>
      <c r="L76" s="331"/>
      <c r="M76" s="257" t="s">
        <v>141</v>
      </c>
      <c r="N76" s="187">
        <f>(O75/Q14)</f>
        <v>200</v>
      </c>
      <c r="O76" s="292"/>
      <c r="P76" s="75"/>
      <c r="Q76" s="45"/>
      <c r="R76" s="152">
        <f>N76*$Q$11*-1</f>
        <v>-200</v>
      </c>
      <c r="S76" s="48">
        <f>N76/$Q$13*-1</f>
        <v>-0.01</v>
      </c>
      <c r="T76" s="115">
        <f>R76/$R$79</f>
        <v>-2.6263952724885097E-2</v>
      </c>
      <c r="U76" s="19"/>
      <c r="V76" s="338"/>
      <c r="W76" s="19" t="s">
        <v>60</v>
      </c>
      <c r="X76" s="250"/>
      <c r="Y76" s="27"/>
      <c r="Z76" s="27"/>
    </row>
    <row r="77" spans="2:26" ht="15.75" thickBot="1" x14ac:dyDescent="0.3">
      <c r="B77" s="35" t="s">
        <v>11</v>
      </c>
      <c r="C77" s="258" t="s">
        <v>45</v>
      </c>
      <c r="D77" s="41">
        <v>100</v>
      </c>
      <c r="E77" s="294"/>
      <c r="F77" s="128"/>
      <c r="G77" s="87"/>
      <c r="H77" s="144">
        <f>D77/G14</f>
        <v>20</v>
      </c>
      <c r="I77" s="98">
        <f>D77/($G$14*$G$13)</f>
        <v>1E-3</v>
      </c>
      <c r="J77" s="99">
        <f>H77/$H$79</f>
        <v>2.8673835125448029E-3</v>
      </c>
      <c r="K77" s="84"/>
      <c r="L77" s="35" t="s">
        <v>11</v>
      </c>
      <c r="M77" s="258" t="s">
        <v>45</v>
      </c>
      <c r="N77" s="41">
        <v>100</v>
      </c>
      <c r="O77" s="294"/>
      <c r="P77" s="128"/>
      <c r="Q77" s="87"/>
      <c r="R77" s="144">
        <f>N77/Q14</f>
        <v>20</v>
      </c>
      <c r="S77" s="98">
        <f>N77/($Q$14*$Q$13)</f>
        <v>1E-3</v>
      </c>
      <c r="T77" s="115">
        <f>R77/$R$79</f>
        <v>2.6263952724885093E-3</v>
      </c>
      <c r="U77" s="19"/>
      <c r="V77" s="337">
        <f t="shared" ref="V77" si="8">H77-R77</f>
        <v>0</v>
      </c>
      <c r="W77" s="19" t="s">
        <v>45</v>
      </c>
      <c r="X77" s="250"/>
      <c r="Y77" s="27"/>
      <c r="Z77" s="27"/>
    </row>
    <row r="78" spans="2:26" ht="15.75" thickBot="1" x14ac:dyDescent="0.3">
      <c r="C78" s="33" t="s">
        <v>0</v>
      </c>
      <c r="D78" s="34"/>
      <c r="E78" s="306"/>
      <c r="F78" s="34"/>
      <c r="G78" s="34"/>
      <c r="H78" s="39"/>
      <c r="I78" s="249"/>
      <c r="J78" s="40"/>
      <c r="M78" s="33" t="s">
        <v>0</v>
      </c>
      <c r="N78" s="34"/>
      <c r="O78" s="306"/>
      <c r="P78" s="34"/>
      <c r="Q78" s="34"/>
      <c r="R78" s="39"/>
      <c r="S78" s="39"/>
      <c r="T78" s="40"/>
      <c r="U78" s="19"/>
      <c r="V78" s="19"/>
      <c r="W78" s="19"/>
      <c r="X78" s="250"/>
    </row>
    <row r="79" spans="2:26" ht="15.75" thickBot="1" x14ac:dyDescent="0.3">
      <c r="C79" s="19"/>
      <c r="D79" s="28"/>
      <c r="E79" s="307"/>
      <c r="F79" s="28"/>
      <c r="G79" s="29" t="s">
        <v>49</v>
      </c>
      <c r="H79" s="5">
        <f>SUM(H17:H77)</f>
        <v>6975</v>
      </c>
      <c r="I79" s="248">
        <f>SUM(I17:I77)</f>
        <v>0.34959999999999997</v>
      </c>
      <c r="J79" s="274">
        <f>SUM(J17:J77)</f>
        <v>0.99999999999999978</v>
      </c>
      <c r="K79" s="19"/>
      <c r="M79" s="19"/>
      <c r="N79" s="28"/>
      <c r="O79" s="307"/>
      <c r="P79" s="28"/>
      <c r="Q79" s="29" t="s">
        <v>49</v>
      </c>
      <c r="R79" s="5">
        <f>SUM(R17:R77)</f>
        <v>7615</v>
      </c>
      <c r="S79" s="248">
        <f>SUM(S17:S77)</f>
        <v>0.36285000000000001</v>
      </c>
      <c r="T79" s="274">
        <f>SUM(T17:T77)</f>
        <v>1</v>
      </c>
      <c r="U79" s="30"/>
      <c r="V79" s="353">
        <f t="shared" ref="V79" si="9">H79-R79</f>
        <v>-640</v>
      </c>
      <c r="W79" s="30" t="s">
        <v>14</v>
      </c>
      <c r="X79" s="19"/>
    </row>
    <row r="80" spans="2:26" ht="30" x14ac:dyDescent="0.25">
      <c r="H80" s="82" t="str">
        <f>"pour "&amp;D6&amp;" "&amp;F6</f>
        <v>pour 20000 km annuel estimé</v>
      </c>
      <c r="I80" s="83" t="s">
        <v>58</v>
      </c>
      <c r="N80" s="12"/>
      <c r="P80" s="12"/>
      <c r="Q80" s="12"/>
      <c r="R80" s="82" t="str">
        <f>"pour "&amp;D6&amp;" "&amp;F6</f>
        <v>pour 20000 km annuel estimé</v>
      </c>
      <c r="S80" s="83" t="s">
        <v>58</v>
      </c>
    </row>
    <row r="81" spans="1:7" x14ac:dyDescent="0.25">
      <c r="A81" s="31"/>
    </row>
    <row r="82" spans="1:7" x14ac:dyDescent="0.25">
      <c r="A82" s="32"/>
    </row>
    <row r="93" spans="1:7" ht="15.75" customHeight="1" x14ac:dyDescent="0.25">
      <c r="D93" s="11"/>
      <c r="F93" s="11"/>
      <c r="G93" s="11"/>
    </row>
    <row r="94" spans="1:7" ht="15.75" customHeight="1" x14ac:dyDescent="0.25">
      <c r="D94" s="11"/>
      <c r="F94" s="11"/>
      <c r="G94" s="11"/>
    </row>
    <row r="95" spans="1:7" ht="15.75" customHeight="1" x14ac:dyDescent="0.25">
      <c r="D95" s="11"/>
      <c r="F95" s="11"/>
      <c r="G95" s="11"/>
    </row>
    <row r="96" spans="1:7" ht="15.75" customHeight="1" x14ac:dyDescent="0.25">
      <c r="D96" s="11"/>
      <c r="F96" s="11"/>
      <c r="G96" s="11"/>
    </row>
    <row r="97" spans="3:9" ht="15.75" customHeight="1" x14ac:dyDescent="0.25">
      <c r="D97" s="11"/>
      <c r="F97" s="11"/>
      <c r="G97" s="11"/>
    </row>
    <row r="98" spans="3:9" ht="15.75" customHeight="1" x14ac:dyDescent="0.25">
      <c r="D98" s="11"/>
      <c r="F98" s="11"/>
      <c r="G98" s="11"/>
    </row>
    <row r="99" spans="3:9" ht="15.75" customHeight="1" x14ac:dyDescent="0.25">
      <c r="D99" s="11"/>
      <c r="F99" s="11"/>
      <c r="G99" s="11"/>
    </row>
    <row r="100" spans="3:9" ht="15.75" customHeight="1" x14ac:dyDescent="0.25">
      <c r="H100" s="27"/>
      <c r="I100" s="27"/>
    </row>
    <row r="101" spans="3:9" ht="15.75" customHeight="1" x14ac:dyDescent="0.25">
      <c r="H101" s="27"/>
      <c r="I101" s="27"/>
    </row>
    <row r="102" spans="3:9" ht="15.75" customHeight="1" x14ac:dyDescent="0.25">
      <c r="H102" s="27"/>
      <c r="I102" s="27"/>
    </row>
    <row r="103" spans="3:9" ht="15.75" customHeight="1" thickBot="1" x14ac:dyDescent="0.3">
      <c r="H103" s="27"/>
      <c r="I103" s="27"/>
    </row>
    <row r="104" spans="3:9" ht="17.25" customHeight="1" x14ac:dyDescent="0.25">
      <c r="C104" s="8"/>
      <c r="D104" s="55" t="s">
        <v>16</v>
      </c>
      <c r="E104" s="296"/>
      <c r="F104" s="55"/>
      <c r="G104" s="26" t="s">
        <v>17</v>
      </c>
      <c r="H104" s="27"/>
      <c r="I104" s="27"/>
    </row>
    <row r="105" spans="3:9" x14ac:dyDescent="0.25">
      <c r="C105" s="9" t="s">
        <v>7</v>
      </c>
      <c r="D105" s="49">
        <f t="shared" ref="D105:D112" si="10">H17</f>
        <v>3000</v>
      </c>
      <c r="E105" s="311"/>
      <c r="F105" s="49"/>
      <c r="G105" s="50">
        <f t="shared" ref="G105:G112" si="11">R17</f>
        <v>3400</v>
      </c>
      <c r="H105" s="190"/>
      <c r="I105" s="27"/>
    </row>
    <row r="106" spans="3:9" x14ac:dyDescent="0.25">
      <c r="C106" s="9" t="s">
        <v>99</v>
      </c>
      <c r="D106" s="49">
        <f t="shared" si="10"/>
        <v>400</v>
      </c>
      <c r="E106" s="311"/>
      <c r="F106" s="49"/>
      <c r="G106" s="50">
        <f t="shared" si="11"/>
        <v>400</v>
      </c>
      <c r="H106" s="191"/>
      <c r="I106" s="27"/>
    </row>
    <row r="107" spans="3:9" x14ac:dyDescent="0.25">
      <c r="C107" s="252" t="s">
        <v>148</v>
      </c>
      <c r="D107" s="49">
        <f t="shared" si="10"/>
        <v>26</v>
      </c>
      <c r="E107" s="311"/>
      <c r="F107" s="49"/>
      <c r="G107" s="50">
        <f t="shared" si="11"/>
        <v>26</v>
      </c>
      <c r="H107" s="191"/>
      <c r="I107" s="27"/>
    </row>
    <row r="108" spans="3:9" x14ac:dyDescent="0.25">
      <c r="C108" s="185" t="s">
        <v>123</v>
      </c>
      <c r="D108" s="49">
        <f t="shared" si="10"/>
        <v>380</v>
      </c>
      <c r="E108" s="311"/>
      <c r="F108" s="49"/>
      <c r="G108" s="50">
        <f t="shared" si="11"/>
        <v>380</v>
      </c>
      <c r="H108" s="191"/>
      <c r="I108" s="27"/>
    </row>
    <row r="109" spans="3:9" x14ac:dyDescent="0.25">
      <c r="C109" s="9" t="s">
        <v>41</v>
      </c>
      <c r="D109" s="49">
        <f t="shared" si="10"/>
        <v>1000</v>
      </c>
      <c r="E109" s="311"/>
      <c r="F109" s="49"/>
      <c r="G109" s="50">
        <f t="shared" si="11"/>
        <v>1000</v>
      </c>
      <c r="H109" s="191"/>
      <c r="I109" s="27"/>
    </row>
    <row r="110" spans="3:9" x14ac:dyDescent="0.25">
      <c r="C110" s="9" t="s">
        <v>112</v>
      </c>
      <c r="D110" s="49">
        <f t="shared" si="10"/>
        <v>10</v>
      </c>
      <c r="E110" s="311"/>
      <c r="F110" s="49"/>
      <c r="G110" s="50">
        <f t="shared" si="11"/>
        <v>10</v>
      </c>
      <c r="H110" s="191"/>
      <c r="I110" s="27"/>
    </row>
    <row r="111" spans="3:9" x14ac:dyDescent="0.25">
      <c r="C111" s="9" t="s">
        <v>42</v>
      </c>
      <c r="D111" s="49">
        <f t="shared" si="10"/>
        <v>200</v>
      </c>
      <c r="E111" s="311"/>
      <c r="F111" s="49"/>
      <c r="G111" s="50">
        <f t="shared" si="11"/>
        <v>200</v>
      </c>
      <c r="H111" s="27"/>
      <c r="I111" s="27"/>
    </row>
    <row r="112" spans="3:9" x14ac:dyDescent="0.25">
      <c r="C112" s="9" t="s">
        <v>103</v>
      </c>
      <c r="D112" s="49">
        <f t="shared" si="10"/>
        <v>100</v>
      </c>
      <c r="E112" s="311"/>
      <c r="F112" s="49"/>
      <c r="G112" s="50">
        <f t="shared" si="11"/>
        <v>100</v>
      </c>
      <c r="H112" s="27"/>
      <c r="I112" s="27"/>
    </row>
    <row r="113" spans="3:9" x14ac:dyDescent="0.25">
      <c r="C113" s="9" t="s">
        <v>9</v>
      </c>
      <c r="D113" s="49">
        <f>SUM(H29:H65)</f>
        <v>1404</v>
      </c>
      <c r="E113" s="311"/>
      <c r="F113" s="49"/>
      <c r="G113" s="50">
        <f>SUM(R29:R65)</f>
        <v>1269.0000000000002</v>
      </c>
      <c r="H113" s="27"/>
      <c r="I113" s="27"/>
    </row>
    <row r="114" spans="3:9" x14ac:dyDescent="0.25">
      <c r="C114" s="10" t="s">
        <v>117</v>
      </c>
      <c r="D114" s="49">
        <f>H68</f>
        <v>200</v>
      </c>
      <c r="E114" s="311"/>
      <c r="F114" s="49"/>
      <c r="G114" s="50">
        <f>R68</f>
        <v>200</v>
      </c>
      <c r="H114" s="192"/>
      <c r="I114" s="27"/>
    </row>
    <row r="115" spans="3:9" x14ac:dyDescent="0.25">
      <c r="C115" s="10" t="s">
        <v>116</v>
      </c>
      <c r="D115" s="49">
        <f>H70</f>
        <v>125</v>
      </c>
      <c r="E115" s="311"/>
      <c r="F115" s="49"/>
      <c r="G115" s="50">
        <f>R70</f>
        <v>500</v>
      </c>
      <c r="H115" s="19"/>
      <c r="I115" s="27"/>
    </row>
    <row r="116" spans="3:9" x14ac:dyDescent="0.25">
      <c r="C116" s="10" t="s">
        <v>10</v>
      </c>
      <c r="D116" s="49">
        <f>H73</f>
        <v>210</v>
      </c>
      <c r="E116" s="311"/>
      <c r="F116" s="49"/>
      <c r="G116" s="50">
        <f>R73</f>
        <v>210</v>
      </c>
      <c r="H116" s="19"/>
      <c r="I116" s="27"/>
    </row>
    <row r="117" spans="3:9" x14ac:dyDescent="0.25">
      <c r="C117" s="10" t="s">
        <v>104</v>
      </c>
      <c r="D117" s="49">
        <f>H74</f>
        <v>100</v>
      </c>
      <c r="E117" s="311"/>
      <c r="F117" s="49"/>
      <c r="G117" s="50">
        <f>R74</f>
        <v>100</v>
      </c>
      <c r="H117" s="19"/>
      <c r="I117" s="27"/>
    </row>
    <row r="118" spans="3:9" x14ac:dyDescent="0.25">
      <c r="C118" s="10" t="s">
        <v>60</v>
      </c>
      <c r="D118" s="49">
        <f>H76</f>
        <v>-200</v>
      </c>
      <c r="E118" s="311"/>
      <c r="F118" s="49"/>
      <c r="G118" s="50">
        <f>R76</f>
        <v>-200</v>
      </c>
      <c r="H118" s="19"/>
      <c r="I118" s="27"/>
    </row>
    <row r="119" spans="3:9" ht="15.75" thickBot="1" x14ac:dyDescent="0.3">
      <c r="C119" s="51" t="s">
        <v>45</v>
      </c>
      <c r="D119" s="52">
        <f>H77</f>
        <v>20</v>
      </c>
      <c r="E119" s="312"/>
      <c r="F119" s="140"/>
      <c r="G119" s="53">
        <f>R77</f>
        <v>20</v>
      </c>
      <c r="H119" s="19"/>
      <c r="I119" s="27"/>
    </row>
    <row r="120" spans="3:9" x14ac:dyDescent="0.25">
      <c r="C120" s="27"/>
      <c r="D120" s="54"/>
      <c r="E120" s="318"/>
      <c r="F120" s="54"/>
      <c r="G120" s="54"/>
      <c r="H120" s="19"/>
      <c r="I120" s="27"/>
    </row>
    <row r="121" spans="3:9" x14ac:dyDescent="0.25">
      <c r="H121" s="19"/>
      <c r="I121" s="27"/>
    </row>
    <row r="122" spans="3:9" x14ac:dyDescent="0.25">
      <c r="H122" s="19"/>
      <c r="I122" s="27"/>
    </row>
    <row r="123" spans="3:9" x14ac:dyDescent="0.25">
      <c r="H123" s="19"/>
      <c r="I123" s="27"/>
    </row>
    <row r="124" spans="3:9" x14ac:dyDescent="0.25">
      <c r="H124" s="19"/>
      <c r="I124" s="27"/>
    </row>
    <row r="125" spans="3:9" x14ac:dyDescent="0.25">
      <c r="H125" s="19"/>
      <c r="I125" s="27"/>
    </row>
    <row r="126" spans="3:9" x14ac:dyDescent="0.25">
      <c r="H126" s="19"/>
      <c r="I126" s="27"/>
    </row>
    <row r="127" spans="3:9" x14ac:dyDescent="0.25">
      <c r="H127" s="19"/>
      <c r="I127" s="27"/>
    </row>
    <row r="128" spans="3:9" x14ac:dyDescent="0.25">
      <c r="H128" s="19"/>
      <c r="I128" s="27"/>
    </row>
    <row r="129" spans="8:9" x14ac:dyDescent="0.25">
      <c r="H129" s="19"/>
      <c r="I129" s="27"/>
    </row>
    <row r="130" spans="8:9" x14ac:dyDescent="0.25">
      <c r="H130" s="19"/>
      <c r="I130" s="27"/>
    </row>
    <row r="131" spans="8:9" x14ac:dyDescent="0.25">
      <c r="H131" s="19"/>
      <c r="I131" s="27"/>
    </row>
    <row r="132" spans="8:9" x14ac:dyDescent="0.25">
      <c r="H132" s="19"/>
      <c r="I132" s="27"/>
    </row>
    <row r="133" spans="8:9" x14ac:dyDescent="0.25">
      <c r="H133" s="19"/>
      <c r="I133" s="27"/>
    </row>
    <row r="134" spans="8:9" x14ac:dyDescent="0.25">
      <c r="H134" s="19"/>
      <c r="I134" s="27"/>
    </row>
    <row r="135" spans="8:9" x14ac:dyDescent="0.25">
      <c r="H135" s="19"/>
      <c r="I135" s="27"/>
    </row>
    <row r="136" spans="8:9" x14ac:dyDescent="0.25">
      <c r="H136" s="193"/>
      <c r="I136" s="27"/>
    </row>
    <row r="137" spans="8:9" x14ac:dyDescent="0.25">
      <c r="H137" s="27"/>
      <c r="I137" s="27"/>
    </row>
    <row r="138" spans="8:9" x14ac:dyDescent="0.25">
      <c r="H138" s="27"/>
      <c r="I138" s="27"/>
    </row>
    <row r="139" spans="8:9" x14ac:dyDescent="0.25">
      <c r="H139" s="19"/>
      <c r="I139" s="27"/>
    </row>
    <row r="140" spans="8:9" x14ac:dyDescent="0.25">
      <c r="H140" s="19"/>
      <c r="I140" s="27"/>
    </row>
    <row r="141" spans="8:9" x14ac:dyDescent="0.25">
      <c r="H141" s="193"/>
      <c r="I141" s="27"/>
    </row>
    <row r="142" spans="8:9" x14ac:dyDescent="0.25">
      <c r="H142" s="27"/>
      <c r="I142" s="27"/>
    </row>
    <row r="143" spans="8:9" x14ac:dyDescent="0.25">
      <c r="H143" s="19"/>
      <c r="I143" s="27"/>
    </row>
    <row r="144" spans="8:9" x14ac:dyDescent="0.25">
      <c r="H144" s="19"/>
      <c r="I144" s="27"/>
    </row>
    <row r="145" spans="8:9" x14ac:dyDescent="0.25">
      <c r="H145" s="194"/>
      <c r="I145" s="27"/>
    </row>
    <row r="146" spans="8:9" x14ac:dyDescent="0.25">
      <c r="H146" s="19"/>
      <c r="I146" s="27"/>
    </row>
    <row r="147" spans="8:9" x14ac:dyDescent="0.25">
      <c r="H147" s="19"/>
      <c r="I147" s="27"/>
    </row>
    <row r="148" spans="8:9" x14ac:dyDescent="0.25">
      <c r="H148" s="27"/>
      <c r="I148" s="27"/>
    </row>
    <row r="149" spans="8:9" x14ac:dyDescent="0.25">
      <c r="H149" s="27"/>
      <c r="I149" s="27"/>
    </row>
    <row r="150" spans="8:9" x14ac:dyDescent="0.25">
      <c r="H150" s="19"/>
      <c r="I150" s="27"/>
    </row>
    <row r="151" spans="8:9" x14ac:dyDescent="0.25">
      <c r="H151" s="19"/>
      <c r="I151" s="27"/>
    </row>
    <row r="152" spans="8:9" x14ac:dyDescent="0.25">
      <c r="H152" s="19"/>
      <c r="I152" s="27"/>
    </row>
    <row r="153" spans="8:9" x14ac:dyDescent="0.25">
      <c r="H153" s="195"/>
      <c r="I153" s="27"/>
    </row>
    <row r="154" spans="8:9" x14ac:dyDescent="0.25">
      <c r="H154" s="196"/>
      <c r="I154" s="27"/>
    </row>
    <row r="155" spans="8:9" x14ac:dyDescent="0.25">
      <c r="H155" s="194"/>
      <c r="I155" s="27"/>
    </row>
    <row r="156" spans="8:9" x14ac:dyDescent="0.25">
      <c r="H156" s="196"/>
      <c r="I156" s="27"/>
    </row>
    <row r="157" spans="8:9" x14ac:dyDescent="0.25">
      <c r="H157" s="19"/>
      <c r="I157" s="27"/>
    </row>
    <row r="158" spans="8:9" x14ac:dyDescent="0.25">
      <c r="H158" s="19"/>
      <c r="I158" s="27"/>
    </row>
    <row r="159" spans="8:9" x14ac:dyDescent="0.25">
      <c r="H159" s="19"/>
      <c r="I159" s="27"/>
    </row>
    <row r="160" spans="8:9" x14ac:dyDescent="0.25">
      <c r="H160" s="19"/>
      <c r="I160" s="27"/>
    </row>
    <row r="161" spans="8:9" x14ac:dyDescent="0.25">
      <c r="H161" s="19"/>
      <c r="I161" s="27"/>
    </row>
    <row r="162" spans="8:9" x14ac:dyDescent="0.25">
      <c r="H162" s="19"/>
      <c r="I162" s="27"/>
    </row>
    <row r="163" spans="8:9" x14ac:dyDescent="0.25">
      <c r="H163" s="27"/>
      <c r="I163" s="27"/>
    </row>
    <row r="164" spans="8:9" x14ac:dyDescent="0.25">
      <c r="H164" s="27"/>
      <c r="I164" s="27"/>
    </row>
  </sheetData>
  <sheetProtection selectLockedCells="1"/>
  <dataConsolidate/>
  <mergeCells count="7">
    <mergeCell ref="V15:W15"/>
    <mergeCell ref="C15:G15"/>
    <mergeCell ref="B21:B76"/>
    <mergeCell ref="M15:Q15"/>
    <mergeCell ref="L21:L76"/>
    <mergeCell ref="B17:B19"/>
    <mergeCell ref="L17:L19"/>
  </mergeCells>
  <pageMargins left="0.7" right="0.7" top="0.75" bottom="0.75" header="0.3" footer="0.3"/>
  <pageSetup orientation="portrait" verticalDpi="1200" r:id="rId1"/>
  <ignoredErrors>
    <ignoredError sqref="E54:E57"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Hypothèses!$E$12:$E$17</xm:f>
          </x14:formula1>
          <xm:sqref>Q12</xm:sqref>
        </x14:dataValidation>
        <x14:dataValidation type="list" allowBlank="1" showInputMessage="1" showErrorMessage="1">
          <x14:formula1>
            <xm:f>Hypothèses!$C$12:$C$17</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Z114"/>
  <sheetViews>
    <sheetView topLeftCell="A7" zoomScale="40" zoomScaleNormal="40" workbookViewId="0">
      <selection activeCell="V14" sqref="V14:W15"/>
    </sheetView>
  </sheetViews>
  <sheetFormatPr defaultColWidth="11.42578125" defaultRowHeight="15" x14ac:dyDescent="0.25"/>
  <cols>
    <col min="1" max="1" width="1.140625" style="11" customWidth="1"/>
    <col min="2" max="2" width="13.28515625" style="11" customWidth="1"/>
    <col min="3" max="3" width="64" style="11" customWidth="1"/>
    <col min="4" max="4" width="15.5703125" style="12" customWidth="1"/>
    <col min="5" max="5" width="0.85546875" style="277" customWidth="1"/>
    <col min="6" max="6" width="14.140625" style="12" customWidth="1"/>
    <col min="7" max="7" width="28.7109375" style="12" customWidth="1"/>
    <col min="8" max="9" width="18.7109375" style="11" customWidth="1"/>
    <col min="10" max="10" width="16.7109375" style="11" customWidth="1"/>
    <col min="11" max="11" width="14.28515625" style="11" bestFit="1" customWidth="1"/>
    <col min="12" max="12" width="15.85546875" style="11" customWidth="1"/>
    <col min="13" max="13" width="51.7109375" style="11" customWidth="1"/>
    <col min="14" max="14" width="19.28515625" style="11" customWidth="1"/>
    <col min="15" max="15" width="0.5703125" style="16" customWidth="1"/>
    <col min="16" max="16" width="17.7109375" style="11" customWidth="1"/>
    <col min="17" max="17" width="33.28515625" style="11" customWidth="1"/>
    <col min="18" max="18" width="25.28515625" style="11" customWidth="1"/>
    <col min="19" max="19" width="19.28515625" style="11" customWidth="1"/>
    <col min="20" max="20" width="16.28515625" style="11" customWidth="1"/>
    <col min="21" max="16384" width="11.42578125" style="11"/>
  </cols>
  <sheetData>
    <row r="1" spans="2:24" ht="5.25" customHeight="1" thickBot="1" x14ac:dyDescent="0.3"/>
    <row r="2" spans="2:24" ht="15.75" thickBot="1" x14ac:dyDescent="0.3">
      <c r="C2" s="13" t="s">
        <v>35</v>
      </c>
      <c r="D2" s="14"/>
      <c r="E2" s="278"/>
      <c r="F2" s="14"/>
      <c r="G2" s="14"/>
      <c r="H2" s="15"/>
      <c r="I2" s="15"/>
      <c r="J2" s="15"/>
      <c r="K2" s="15"/>
      <c r="L2" s="15"/>
      <c r="M2" s="15"/>
      <c r="N2" s="15"/>
      <c r="O2" s="299"/>
    </row>
    <row r="3" spans="2:24" x14ac:dyDescent="0.25">
      <c r="C3" s="11" t="s">
        <v>24</v>
      </c>
    </row>
    <row r="4" spans="2:24" ht="5.25" customHeight="1" x14ac:dyDescent="0.25"/>
    <row r="5" spans="2:24" ht="15.75" thickBot="1" x14ac:dyDescent="0.3">
      <c r="C5" s="11" t="s">
        <v>1</v>
      </c>
      <c r="D5" s="12" t="s">
        <v>36</v>
      </c>
      <c r="J5" s="190"/>
    </row>
    <row r="6" spans="2:24" ht="15.75" thickBot="1" x14ac:dyDescent="0.3">
      <c r="C6" s="11" t="s">
        <v>2</v>
      </c>
      <c r="D6" s="183">
        <v>20000</v>
      </c>
      <c r="F6" s="276" t="s">
        <v>37</v>
      </c>
      <c r="J6" s="191"/>
    </row>
    <row r="7" spans="2:24" ht="15.75" thickBot="1" x14ac:dyDescent="0.3">
      <c r="J7" s="191"/>
    </row>
    <row r="8" spans="2:24" ht="15.75" thickBot="1" x14ac:dyDescent="0.3">
      <c r="C8" s="16" t="s">
        <v>3</v>
      </c>
      <c r="G8" s="17" t="s">
        <v>4</v>
      </c>
      <c r="J8" s="191"/>
    </row>
    <row r="9" spans="2:24" ht="15.75" thickBot="1" x14ac:dyDescent="0.3">
      <c r="G9" s="18" t="s">
        <v>5</v>
      </c>
      <c r="J9" s="27"/>
    </row>
    <row r="10" spans="2:24" ht="15.75" thickBot="1" x14ac:dyDescent="0.3">
      <c r="J10" s="27"/>
      <c r="L10" s="19"/>
      <c r="M10" s="19"/>
      <c r="N10" s="19"/>
      <c r="O10" s="29"/>
      <c r="P10" s="19"/>
      <c r="Q10" s="19"/>
      <c r="R10" s="19"/>
      <c r="S10" s="19"/>
      <c r="T10" s="19"/>
      <c r="U10" s="19"/>
      <c r="V10" s="19"/>
    </row>
    <row r="11" spans="2:24" ht="15.75" thickBot="1" x14ac:dyDescent="0.3">
      <c r="C11" s="43" t="s">
        <v>38</v>
      </c>
      <c r="D11" s="12" t="s">
        <v>12</v>
      </c>
      <c r="G11" s="68">
        <v>1</v>
      </c>
      <c r="H11" s="11" t="s">
        <v>62</v>
      </c>
      <c r="J11" s="27"/>
      <c r="M11" s="43" t="s">
        <v>39</v>
      </c>
      <c r="N11" s="12" t="s">
        <v>12</v>
      </c>
      <c r="P11" s="12"/>
      <c r="Q11" s="68">
        <v>1</v>
      </c>
      <c r="R11" s="11" t="s">
        <v>62</v>
      </c>
      <c r="U11" s="19"/>
      <c r="V11" s="19"/>
    </row>
    <row r="12" spans="2:24" ht="15.75" thickBot="1" x14ac:dyDescent="0.3">
      <c r="C12" s="20" t="s">
        <v>72</v>
      </c>
      <c r="D12" s="85"/>
      <c r="E12" s="279"/>
      <c r="F12" s="85"/>
      <c r="G12" s="4" t="s">
        <v>71</v>
      </c>
      <c r="M12" s="20" t="s">
        <v>72</v>
      </c>
      <c r="N12" s="85"/>
      <c r="O12" s="300"/>
      <c r="P12" s="85"/>
      <c r="Q12" s="4" t="s">
        <v>69</v>
      </c>
      <c r="U12" s="19"/>
      <c r="V12" s="19"/>
    </row>
    <row r="13" spans="2:24" ht="15.75" thickBot="1" x14ac:dyDescent="0.3">
      <c r="C13" s="20" t="s">
        <v>55</v>
      </c>
      <c r="D13" s="21"/>
      <c r="E13" s="279"/>
      <c r="F13" s="21"/>
      <c r="G13" s="88">
        <f>D6</f>
        <v>20000</v>
      </c>
      <c r="H13" s="12" t="s">
        <v>37</v>
      </c>
      <c r="I13" s="12"/>
      <c r="J13" s="22"/>
      <c r="M13" s="20" t="s">
        <v>55</v>
      </c>
      <c r="N13" s="21"/>
      <c r="O13" s="300"/>
      <c r="P13" s="21"/>
      <c r="Q13" s="88">
        <f>D6</f>
        <v>20000</v>
      </c>
      <c r="R13" s="12" t="s">
        <v>37</v>
      </c>
      <c r="S13" s="12"/>
      <c r="T13" s="22"/>
      <c r="U13" s="19"/>
      <c r="V13" s="19"/>
    </row>
    <row r="14" spans="2:24" ht="29.25" customHeight="1" thickBot="1" x14ac:dyDescent="0.3">
      <c r="B14" s="23" t="s">
        <v>6</v>
      </c>
      <c r="C14" s="326" t="s">
        <v>13</v>
      </c>
      <c r="D14" s="327"/>
      <c r="E14" s="327"/>
      <c r="F14" s="327"/>
      <c r="G14" s="328"/>
      <c r="H14" s="158" t="s">
        <v>57</v>
      </c>
      <c r="I14" s="81" t="s">
        <v>56</v>
      </c>
      <c r="J14" s="25" t="s">
        <v>15</v>
      </c>
      <c r="L14" s="23" t="s">
        <v>6</v>
      </c>
      <c r="M14" s="326" t="s">
        <v>13</v>
      </c>
      <c r="N14" s="327"/>
      <c r="O14" s="327"/>
      <c r="P14" s="327"/>
      <c r="Q14" s="328"/>
      <c r="R14" s="162" t="s">
        <v>57</v>
      </c>
      <c r="S14" s="81" t="s">
        <v>56</v>
      </c>
      <c r="T14" s="154" t="s">
        <v>15</v>
      </c>
      <c r="U14" s="30"/>
      <c r="V14" s="340" t="s">
        <v>152</v>
      </c>
      <c r="W14" s="341"/>
    </row>
    <row r="15" spans="2:24" ht="17.25" customHeight="1" thickBot="1" x14ac:dyDescent="0.3">
      <c r="B15" s="76"/>
      <c r="C15" s="77"/>
      <c r="D15" s="67"/>
      <c r="E15" s="280"/>
      <c r="F15" s="78" t="s">
        <v>51</v>
      </c>
      <c r="G15" s="24"/>
      <c r="H15" s="159"/>
      <c r="I15" s="160"/>
      <c r="J15" s="161"/>
      <c r="L15" s="76"/>
      <c r="M15" s="77"/>
      <c r="N15" s="67"/>
      <c r="O15" s="301"/>
      <c r="P15" s="78" t="s">
        <v>51</v>
      </c>
      <c r="Q15" s="24"/>
      <c r="R15" s="159"/>
      <c r="S15" s="160"/>
      <c r="T15" s="161"/>
      <c r="U15" s="30"/>
      <c r="V15" s="347"/>
      <c r="W15" s="342"/>
    </row>
    <row r="16" spans="2:24" ht="15.75" customHeight="1" thickBot="1" x14ac:dyDescent="0.3">
      <c r="B16" s="329" t="s">
        <v>25</v>
      </c>
      <c r="C16" s="8" t="s">
        <v>120</v>
      </c>
      <c r="D16" s="41">
        <v>1000</v>
      </c>
      <c r="E16" s="281"/>
      <c r="F16" s="71"/>
      <c r="G16" s="120" t="s">
        <v>121</v>
      </c>
      <c r="H16" s="201">
        <f>D16</f>
        <v>1000</v>
      </c>
      <c r="I16" s="202">
        <f>H16/(G13)</f>
        <v>0.05</v>
      </c>
      <c r="J16" s="203">
        <f>H16/$H$74</f>
        <v>0.16216391528557064</v>
      </c>
      <c r="K16" s="84"/>
      <c r="L16" s="329" t="s">
        <v>25</v>
      </c>
      <c r="M16" s="8" t="s">
        <v>120</v>
      </c>
      <c r="N16" s="41">
        <v>1000</v>
      </c>
      <c r="O16" s="281"/>
      <c r="P16" s="71"/>
      <c r="Q16" s="120" t="s">
        <v>121</v>
      </c>
      <c r="R16" s="201">
        <f>N16</f>
        <v>1000</v>
      </c>
      <c r="S16" s="202">
        <f>R16/(Q13)</f>
        <v>0.05</v>
      </c>
      <c r="T16" s="203">
        <f>R16/$H$74</f>
        <v>0.16216391528557064</v>
      </c>
      <c r="V16" s="348">
        <f>H16-R16</f>
        <v>0</v>
      </c>
      <c r="W16" s="19" t="s">
        <v>7</v>
      </c>
      <c r="X16" s="27"/>
    </row>
    <row r="17" spans="2:24" ht="15.75" customHeight="1" thickBot="1" x14ac:dyDescent="0.3">
      <c r="B17" s="330"/>
      <c r="C17" s="27" t="s">
        <v>99</v>
      </c>
      <c r="D17" s="41">
        <v>150</v>
      </c>
      <c r="E17" s="282"/>
      <c r="F17" s="72"/>
      <c r="G17" s="90"/>
      <c r="H17" s="204">
        <f>D17</f>
        <v>150</v>
      </c>
      <c r="I17" s="156">
        <f>H17/(G13)</f>
        <v>7.4999999999999997E-3</v>
      </c>
      <c r="J17" s="205">
        <f t="shared" ref="J17:J19" si="0">H17/$H$74</f>
        <v>2.4324587292835598E-2</v>
      </c>
      <c r="K17" s="84"/>
      <c r="L17" s="330"/>
      <c r="M17" s="27" t="s">
        <v>99</v>
      </c>
      <c r="N17" s="41">
        <v>150</v>
      </c>
      <c r="O17" s="282"/>
      <c r="P17" s="72"/>
      <c r="Q17" s="90"/>
      <c r="R17" s="204">
        <f>N17</f>
        <v>150</v>
      </c>
      <c r="S17" s="156">
        <f>R17/(Q13)</f>
        <v>7.4999999999999997E-3</v>
      </c>
      <c r="T17" s="205">
        <f t="shared" ref="T17:T19" si="1">R17/$H$74</f>
        <v>2.4324587292835598E-2</v>
      </c>
      <c r="V17" s="349">
        <f t="shared" ref="V17:V25" si="2">H17-R17</f>
        <v>0</v>
      </c>
      <c r="W17" s="27" t="s">
        <v>99</v>
      </c>
      <c r="X17" s="27"/>
    </row>
    <row r="18" spans="2:24" ht="15.75" customHeight="1" thickBot="1" x14ac:dyDescent="0.3">
      <c r="B18" s="330"/>
      <c r="C18" s="252" t="s">
        <v>143</v>
      </c>
      <c r="D18" s="41">
        <v>130</v>
      </c>
      <c r="E18" s="282"/>
      <c r="F18" s="72"/>
      <c r="G18" s="90"/>
      <c r="H18" s="204">
        <f t="shared" ref="H18" si="3">D18</f>
        <v>130</v>
      </c>
      <c r="I18" s="156">
        <f>H18/(G13)</f>
        <v>6.4999999999999997E-3</v>
      </c>
      <c r="J18" s="205">
        <f t="shared" si="0"/>
        <v>2.1081308987124184E-2</v>
      </c>
      <c r="K18" s="84"/>
      <c r="L18" s="330"/>
      <c r="M18" s="252" t="s">
        <v>143</v>
      </c>
      <c r="N18" s="41">
        <v>130</v>
      </c>
      <c r="O18" s="282"/>
      <c r="P18" s="72"/>
      <c r="Q18" s="90"/>
      <c r="R18" s="204">
        <f t="shared" ref="R18" si="4">N18</f>
        <v>130</v>
      </c>
      <c r="S18" s="156">
        <f>R18/(Q13)</f>
        <v>6.4999999999999997E-3</v>
      </c>
      <c r="T18" s="205">
        <f t="shared" si="1"/>
        <v>2.1081308987124184E-2</v>
      </c>
      <c r="V18" s="349">
        <f t="shared" si="2"/>
        <v>0</v>
      </c>
      <c r="W18" s="268" t="s">
        <v>143</v>
      </c>
      <c r="X18" s="27"/>
    </row>
    <row r="19" spans="2:24" ht="15.75" customHeight="1" thickBot="1" x14ac:dyDescent="0.3">
      <c r="B19" s="200" t="s">
        <v>122</v>
      </c>
      <c r="C19" s="185" t="s">
        <v>123</v>
      </c>
      <c r="D19" s="41">
        <v>1900</v>
      </c>
      <c r="E19" s="282"/>
      <c r="F19" s="72"/>
      <c r="G19" s="90"/>
      <c r="H19" s="204">
        <f>D19</f>
        <v>1900</v>
      </c>
      <c r="I19" s="156">
        <f>H19/(G13)</f>
        <v>9.5000000000000001E-2</v>
      </c>
      <c r="J19" s="205">
        <f t="shared" si="0"/>
        <v>0.3081114390425842</v>
      </c>
      <c r="K19" s="84"/>
      <c r="L19" s="200" t="s">
        <v>122</v>
      </c>
      <c r="M19" s="185" t="s">
        <v>123</v>
      </c>
      <c r="N19" s="41">
        <v>1900</v>
      </c>
      <c r="O19" s="282"/>
      <c r="P19" s="72"/>
      <c r="Q19" s="90"/>
      <c r="R19" s="204">
        <f>N19</f>
        <v>1900</v>
      </c>
      <c r="S19" s="156">
        <f>R19/(Q13)</f>
        <v>9.5000000000000001E-2</v>
      </c>
      <c r="T19" s="205">
        <f t="shared" si="1"/>
        <v>0.3081114390425842</v>
      </c>
      <c r="V19" s="349">
        <f t="shared" si="2"/>
        <v>0</v>
      </c>
      <c r="W19" s="191" t="s">
        <v>123</v>
      </c>
      <c r="X19" s="27"/>
    </row>
    <row r="20" spans="2:24" ht="15.75" thickBot="1" x14ac:dyDescent="0.3">
      <c r="B20" s="329" t="s">
        <v>8</v>
      </c>
      <c r="C20" s="11" t="s">
        <v>106</v>
      </c>
      <c r="D20" s="41">
        <v>0.25</v>
      </c>
      <c r="E20" s="282"/>
      <c r="F20" s="72"/>
      <c r="G20" s="163" t="s">
        <v>107</v>
      </c>
      <c r="H20" s="165"/>
      <c r="I20" s="164"/>
      <c r="J20" s="208"/>
      <c r="K20" s="84"/>
      <c r="L20" s="329" t="s">
        <v>8</v>
      </c>
      <c r="M20" s="11" t="s">
        <v>106</v>
      </c>
      <c r="N20" s="41">
        <v>0.25</v>
      </c>
      <c r="O20" s="282"/>
      <c r="P20" s="72"/>
      <c r="Q20" s="163" t="s">
        <v>107</v>
      </c>
      <c r="R20" s="165"/>
      <c r="S20" s="164"/>
      <c r="T20" s="208"/>
      <c r="V20" s="338"/>
      <c r="X20" s="27"/>
    </row>
    <row r="21" spans="2:24" ht="15.75" thickBot="1" x14ac:dyDescent="0.3">
      <c r="B21" s="330"/>
      <c r="C21" s="11" t="s">
        <v>109</v>
      </c>
      <c r="D21" s="209">
        <v>100</v>
      </c>
      <c r="E21" s="282"/>
      <c r="F21" s="72"/>
      <c r="G21" s="163" t="s">
        <v>98</v>
      </c>
      <c r="H21" s="206">
        <f>D21*D20</f>
        <v>25</v>
      </c>
      <c r="I21" s="141">
        <f>H21/D21</f>
        <v>0.25</v>
      </c>
      <c r="J21" s="115">
        <f>H21/$H$74</f>
        <v>4.0540978821392657E-3</v>
      </c>
      <c r="K21" s="84"/>
      <c r="L21" s="330"/>
      <c r="M21" s="11" t="s">
        <v>109</v>
      </c>
      <c r="N21" s="209">
        <v>100</v>
      </c>
      <c r="O21" s="282"/>
      <c r="P21" s="72"/>
      <c r="Q21" s="163" t="s">
        <v>98</v>
      </c>
      <c r="R21" s="206">
        <f>N21*N20</f>
        <v>25</v>
      </c>
      <c r="S21" s="141">
        <f>N20</f>
        <v>0.25</v>
      </c>
      <c r="T21" s="115">
        <f>R21/$H$74</f>
        <v>4.0540978821392657E-3</v>
      </c>
      <c r="V21" s="349">
        <f t="shared" si="2"/>
        <v>0</v>
      </c>
      <c r="W21" s="11" t="s">
        <v>106</v>
      </c>
      <c r="X21" s="27"/>
    </row>
    <row r="22" spans="2:24" ht="15.75" thickBot="1" x14ac:dyDescent="0.3">
      <c r="B22" s="330"/>
      <c r="C22" s="9" t="s">
        <v>41</v>
      </c>
      <c r="D22" s="41">
        <v>1000</v>
      </c>
      <c r="E22" s="282"/>
      <c r="F22" s="72"/>
      <c r="G22" s="163"/>
      <c r="H22" s="206">
        <f>D22</f>
        <v>1000</v>
      </c>
      <c r="I22" s="141">
        <f>D22/G13</f>
        <v>0.05</v>
      </c>
      <c r="J22" s="115">
        <f t="shared" ref="J22:J23" si="5">H22/$H$74</f>
        <v>0.16216391528557064</v>
      </c>
      <c r="K22" s="84"/>
      <c r="L22" s="330"/>
      <c r="M22" s="9" t="s">
        <v>41</v>
      </c>
      <c r="N22" s="41">
        <v>1000</v>
      </c>
      <c r="O22" s="282"/>
      <c r="P22" s="72"/>
      <c r="Q22" s="163"/>
      <c r="R22" s="206">
        <f>N22</f>
        <v>1000</v>
      </c>
      <c r="S22" s="141">
        <f>N22/Q13</f>
        <v>0.05</v>
      </c>
      <c r="T22" s="115">
        <f t="shared" ref="T22:T23" si="6">R22/$H$74</f>
        <v>0.16216391528557064</v>
      </c>
      <c r="V22" s="349">
        <f t="shared" si="2"/>
        <v>0</v>
      </c>
      <c r="W22" s="27" t="s">
        <v>41</v>
      </c>
      <c r="X22" s="27"/>
    </row>
    <row r="23" spans="2:24" ht="15.75" thickBot="1" x14ac:dyDescent="0.3">
      <c r="B23" s="330"/>
      <c r="C23" s="9" t="s">
        <v>112</v>
      </c>
      <c r="D23" s="41">
        <v>50</v>
      </c>
      <c r="E23" s="282"/>
      <c r="F23" s="72"/>
      <c r="G23" s="163"/>
      <c r="H23" s="206">
        <f>D23</f>
        <v>50</v>
      </c>
      <c r="I23" s="141">
        <f>D22/G13</f>
        <v>0.05</v>
      </c>
      <c r="J23" s="115">
        <f t="shared" si="5"/>
        <v>8.1081957642785314E-3</v>
      </c>
      <c r="K23" s="84"/>
      <c r="L23" s="330"/>
      <c r="M23" s="9" t="s">
        <v>112</v>
      </c>
      <c r="N23" s="41">
        <v>50</v>
      </c>
      <c r="O23" s="282"/>
      <c r="P23" s="72"/>
      <c r="Q23" s="163"/>
      <c r="R23" s="206">
        <f>N23</f>
        <v>50</v>
      </c>
      <c r="S23" s="141">
        <f>N22/Q13</f>
        <v>0.05</v>
      </c>
      <c r="T23" s="115">
        <f t="shared" si="6"/>
        <v>8.1081957642785314E-3</v>
      </c>
      <c r="V23" s="349">
        <f t="shared" si="2"/>
        <v>0</v>
      </c>
      <c r="W23" s="27" t="s">
        <v>112</v>
      </c>
      <c r="X23" s="27"/>
    </row>
    <row r="24" spans="2:24" ht="15.75" thickBot="1" x14ac:dyDescent="0.3">
      <c r="B24" s="330"/>
      <c r="C24" s="9" t="s">
        <v>42</v>
      </c>
      <c r="D24" s="41">
        <v>100</v>
      </c>
      <c r="E24" s="282"/>
      <c r="F24" s="72"/>
      <c r="G24" s="90"/>
      <c r="H24" s="206">
        <f>D24</f>
        <v>100</v>
      </c>
      <c r="I24" s="156">
        <f>H24/(G13)</f>
        <v>5.0000000000000001E-3</v>
      </c>
      <c r="J24" s="115">
        <f>H24/$H$74</f>
        <v>1.6216391528557063E-2</v>
      </c>
      <c r="K24" s="84"/>
      <c r="L24" s="330"/>
      <c r="M24" s="9" t="s">
        <v>42</v>
      </c>
      <c r="N24" s="41">
        <v>100</v>
      </c>
      <c r="O24" s="282"/>
      <c r="P24" s="72"/>
      <c r="Q24" s="90"/>
      <c r="R24" s="206">
        <f>N24</f>
        <v>100</v>
      </c>
      <c r="S24" s="156">
        <f>R24/(Q13)</f>
        <v>5.0000000000000001E-3</v>
      </c>
      <c r="T24" s="115">
        <f>R24/$H$74</f>
        <v>1.6216391528557063E-2</v>
      </c>
      <c r="V24" s="349">
        <f t="shared" si="2"/>
        <v>0</v>
      </c>
      <c r="W24" s="27" t="s">
        <v>42</v>
      </c>
      <c r="X24" s="27"/>
    </row>
    <row r="25" spans="2:24" ht="25.5" customHeight="1" thickBot="1" x14ac:dyDescent="0.3">
      <c r="B25" s="330"/>
      <c r="C25" s="345" t="s">
        <v>43</v>
      </c>
      <c r="D25" s="41">
        <v>100</v>
      </c>
      <c r="E25" s="282"/>
      <c r="F25" s="72"/>
      <c r="G25" s="90"/>
      <c r="H25" s="207">
        <f>D25/$G$11</f>
        <v>100</v>
      </c>
      <c r="I25" s="98">
        <f>D25/G13</f>
        <v>5.0000000000000001E-3</v>
      </c>
      <c r="J25" s="99">
        <f>H25/$H$74</f>
        <v>1.6216391528557063E-2</v>
      </c>
      <c r="K25" s="84"/>
      <c r="L25" s="330"/>
      <c r="M25" s="344" t="s">
        <v>43</v>
      </c>
      <c r="N25" s="41">
        <v>100</v>
      </c>
      <c r="O25" s="282"/>
      <c r="P25" s="72"/>
      <c r="Q25" s="90"/>
      <c r="R25" s="207">
        <f>N25/$G$11</f>
        <v>100</v>
      </c>
      <c r="S25" s="98">
        <f>N25/Q13</f>
        <v>5.0000000000000001E-3</v>
      </c>
      <c r="T25" s="99">
        <f>R25/$H$74</f>
        <v>1.6216391528557063E-2</v>
      </c>
      <c r="V25" s="349">
        <f t="shared" si="2"/>
        <v>0</v>
      </c>
      <c r="W25" s="346" t="s">
        <v>43</v>
      </c>
      <c r="X25" s="27"/>
    </row>
    <row r="26" spans="2:24" ht="15.75" thickBot="1" x14ac:dyDescent="0.3">
      <c r="B26" s="330"/>
      <c r="C26" s="10"/>
      <c r="D26" s="101"/>
      <c r="E26" s="283"/>
      <c r="F26" s="93"/>
      <c r="G26" s="102"/>
      <c r="H26" s="142"/>
      <c r="I26" s="103"/>
      <c r="J26" s="92"/>
      <c r="K26" s="84"/>
      <c r="L26" s="330"/>
      <c r="M26" s="10"/>
      <c r="N26" s="101"/>
      <c r="O26" s="283"/>
      <c r="P26" s="93"/>
      <c r="Q26" s="102"/>
      <c r="R26" s="142"/>
      <c r="S26" s="103"/>
      <c r="T26" s="92"/>
      <c r="V26" s="338"/>
      <c r="W26" s="19"/>
      <c r="X26" s="27"/>
    </row>
    <row r="27" spans="2:24" ht="15.75" thickBot="1" x14ac:dyDescent="0.3">
      <c r="B27" s="330"/>
      <c r="C27" s="105" t="s">
        <v>82</v>
      </c>
      <c r="D27" s="106"/>
      <c r="E27" s="284"/>
      <c r="F27" s="111"/>
      <c r="G27" s="112"/>
      <c r="H27" s="143"/>
      <c r="I27" s="109"/>
      <c r="J27" s="110"/>
      <c r="K27" s="84"/>
      <c r="L27" s="330"/>
      <c r="M27" s="105" t="s">
        <v>82</v>
      </c>
      <c r="N27" s="106"/>
      <c r="O27" s="302"/>
      <c r="P27" s="111"/>
      <c r="Q27" s="112"/>
      <c r="R27" s="143"/>
      <c r="S27" s="109"/>
      <c r="T27" s="110"/>
      <c r="V27" s="338"/>
      <c r="W27" s="19"/>
      <c r="X27" s="27"/>
    </row>
    <row r="28" spans="2:24" x14ac:dyDescent="0.25">
      <c r="B28" s="330"/>
      <c r="C28" s="9" t="s">
        <v>53</v>
      </c>
      <c r="D28" s="116"/>
      <c r="E28" s="285">
        <f>IF(D28="",F28,D28)</f>
        <v>5.2</v>
      </c>
      <c r="F28" s="79">
        <v>5.2</v>
      </c>
      <c r="G28" s="90" t="s">
        <v>46</v>
      </c>
      <c r="H28" s="142"/>
      <c r="I28" s="89"/>
      <c r="J28" s="94"/>
      <c r="K28" s="84"/>
      <c r="L28" s="330"/>
      <c r="M28" s="9" t="s">
        <v>53</v>
      </c>
      <c r="N28" s="116"/>
      <c r="O28" s="285">
        <f>IF(N28="",P28,N28)</f>
        <v>5.2</v>
      </c>
      <c r="P28" s="79">
        <v>5.2</v>
      </c>
      <c r="Q28" s="90" t="s">
        <v>46</v>
      </c>
      <c r="R28" s="142"/>
      <c r="S28" s="89"/>
      <c r="T28" s="94"/>
      <c r="V28" s="338"/>
      <c r="W28" s="19"/>
      <c r="X28" s="27"/>
    </row>
    <row r="29" spans="2:24" ht="15.75" thickBot="1" x14ac:dyDescent="0.3">
      <c r="B29" s="330"/>
      <c r="C29" s="9" t="s">
        <v>64</v>
      </c>
      <c r="D29" s="197"/>
      <c r="E29" s="286">
        <f>IF(D29="",F29,D29)</f>
        <v>1.35</v>
      </c>
      <c r="F29" s="199">
        <v>1.35</v>
      </c>
      <c r="G29" s="91" t="s">
        <v>52</v>
      </c>
      <c r="H29" s="142"/>
      <c r="I29" s="89"/>
      <c r="J29" s="94"/>
      <c r="K29" s="84"/>
      <c r="L29" s="330"/>
      <c r="M29" s="9" t="s">
        <v>64</v>
      </c>
      <c r="N29" s="197"/>
      <c r="O29" s="286">
        <f>IF(N29="",P29,N29)</f>
        <v>1.35</v>
      </c>
      <c r="P29" s="199">
        <v>1.35</v>
      </c>
      <c r="Q29" s="91" t="s">
        <v>52</v>
      </c>
      <c r="R29" s="142"/>
      <c r="S29" s="89"/>
      <c r="T29" s="94"/>
      <c r="V29" s="338"/>
      <c r="W29" s="19"/>
      <c r="X29" s="27"/>
    </row>
    <row r="30" spans="2:24" ht="15.75" thickBot="1" x14ac:dyDescent="0.3">
      <c r="B30" s="330"/>
      <c r="C30" s="95" t="s">
        <v>74</v>
      </c>
      <c r="D30" s="187">
        <f>$E$29*$E$28/100</f>
        <v>7.0199999999999999E-2</v>
      </c>
      <c r="E30" s="287" t="str">
        <f>IF(VLOOKUP(G$12,Hypothèses!C12:C17,1,0)=Hypothèses!C12,D30*$G$11,"N/A")</f>
        <v>N/A</v>
      </c>
      <c r="F30" s="221"/>
      <c r="G30" s="97" t="s">
        <v>54</v>
      </c>
      <c r="H30" s="144" t="str">
        <f>IF(VLOOKUP(G$12,Hypothèses!C12:C17,1,0)=Hypothèses!C12,D30*$G$13,"N/A")</f>
        <v>N/A</v>
      </c>
      <c r="I30" s="98">
        <f>IF(H30="N/A", 0, H30/$G$13)</f>
        <v>0</v>
      </c>
      <c r="J30" s="99">
        <f>IF(H30="N/A",0,H30/$H$74)</f>
        <v>0</v>
      </c>
      <c r="K30" s="84"/>
      <c r="L30" s="330"/>
      <c r="M30" s="95" t="s">
        <v>74</v>
      </c>
      <c r="N30" s="187">
        <f>$O$29*$O$28/100</f>
        <v>7.0199999999999999E-2</v>
      </c>
      <c r="O30" s="287" t="str">
        <f>IF(VLOOKUP(Q$12,Hypothèses!$E$12:$E$17,1,0)=Hypothèses!M12,N30*$G$11,"N/A")</f>
        <v>N/A</v>
      </c>
      <c r="P30" s="221"/>
      <c r="Q30" s="97" t="s">
        <v>54</v>
      </c>
      <c r="R30" s="144" t="str">
        <f>IF(VLOOKUP(Q$12,Hypothèses!$E$12:$E$17,1,0)=Hypothèses!E12,N30*$Q$13,"N/A")</f>
        <v>N/A</v>
      </c>
      <c r="S30" s="98">
        <f>IF(R30="N/A", 0, R30/$Q$13)</f>
        <v>0</v>
      </c>
      <c r="T30" s="99">
        <f>IF(R30="N/A",0,R30/$R$74)</f>
        <v>0</v>
      </c>
      <c r="V30" s="338"/>
      <c r="W30" s="19"/>
      <c r="X30" s="27"/>
    </row>
    <row r="31" spans="2:24" ht="15.75" thickBot="1" x14ac:dyDescent="0.3">
      <c r="B31" s="330"/>
      <c r="C31" s="10"/>
      <c r="D31" s="101"/>
      <c r="E31" s="283"/>
      <c r="F31" s="93"/>
      <c r="G31" s="102"/>
      <c r="H31" s="142"/>
      <c r="I31" s="103"/>
      <c r="J31" s="92"/>
      <c r="K31" s="84"/>
      <c r="L31" s="330"/>
      <c r="M31" s="10"/>
      <c r="N31" s="101"/>
      <c r="O31" s="283"/>
      <c r="P31" s="93"/>
      <c r="Q31" s="102"/>
      <c r="R31" s="142"/>
      <c r="S31" s="103"/>
      <c r="T31" s="92"/>
      <c r="V31" s="338"/>
      <c r="W31" s="19"/>
      <c r="X31" s="27"/>
    </row>
    <row r="32" spans="2:24" ht="15.75" thickBot="1" x14ac:dyDescent="0.3">
      <c r="B32" s="330"/>
      <c r="C32" s="105" t="s">
        <v>83</v>
      </c>
      <c r="D32" s="106"/>
      <c r="E32" s="284"/>
      <c r="F32" s="111"/>
      <c r="G32" s="112"/>
      <c r="H32" s="143"/>
      <c r="I32" s="109"/>
      <c r="J32" s="110"/>
      <c r="K32" s="84"/>
      <c r="L32" s="330"/>
      <c r="M32" s="105" t="s">
        <v>83</v>
      </c>
      <c r="N32" s="106"/>
      <c r="O32" s="302"/>
      <c r="P32" s="111"/>
      <c r="Q32" s="112"/>
      <c r="R32" s="143"/>
      <c r="S32" s="109"/>
      <c r="T32" s="110"/>
      <c r="V32" s="338"/>
      <c r="W32" s="19"/>
      <c r="X32" s="27"/>
    </row>
    <row r="33" spans="2:24" x14ac:dyDescent="0.25">
      <c r="B33" s="330"/>
      <c r="C33" s="9" t="s">
        <v>53</v>
      </c>
      <c r="D33" s="116"/>
      <c r="E33" s="285">
        <f>IF(D33="",F33,D33)</f>
        <v>5.2</v>
      </c>
      <c r="F33" s="79">
        <v>5.2</v>
      </c>
      <c r="G33" s="90" t="s">
        <v>46</v>
      </c>
      <c r="H33" s="142"/>
      <c r="I33" s="89"/>
      <c r="J33" s="94"/>
      <c r="K33" s="84"/>
      <c r="L33" s="330"/>
      <c r="M33" s="9" t="s">
        <v>53</v>
      </c>
      <c r="N33" s="116"/>
      <c r="O33" s="285">
        <f>IF(N33="",P33,N33)</f>
        <v>5.2</v>
      </c>
      <c r="P33" s="79">
        <v>5.2</v>
      </c>
      <c r="Q33" s="90" t="s">
        <v>46</v>
      </c>
      <c r="R33" s="142"/>
      <c r="S33" s="89"/>
      <c r="T33" s="94"/>
      <c r="V33" s="338"/>
      <c r="W33" s="19"/>
      <c r="X33" s="27"/>
    </row>
    <row r="34" spans="2:24" ht="15.75" thickBot="1" x14ac:dyDescent="0.3">
      <c r="B34" s="330"/>
      <c r="C34" s="9" t="s">
        <v>64</v>
      </c>
      <c r="D34" s="197"/>
      <c r="E34" s="286">
        <f>IF(D34="",F34,D34)</f>
        <v>1.29</v>
      </c>
      <c r="F34" s="199">
        <v>1.29</v>
      </c>
      <c r="G34" s="91" t="s">
        <v>52</v>
      </c>
      <c r="H34" s="142"/>
      <c r="I34" s="89"/>
      <c r="J34" s="94"/>
      <c r="K34" s="84"/>
      <c r="L34" s="330"/>
      <c r="M34" s="9" t="s">
        <v>64</v>
      </c>
      <c r="N34" s="197"/>
      <c r="O34" s="286">
        <f>IF(N34="",P34,N34)</f>
        <v>1.29</v>
      </c>
      <c r="P34" s="199">
        <v>1.29</v>
      </c>
      <c r="Q34" s="91" t="s">
        <v>52</v>
      </c>
      <c r="R34" s="142"/>
      <c r="S34" s="89"/>
      <c r="T34" s="94"/>
      <c r="V34" s="338"/>
      <c r="W34" s="19"/>
      <c r="X34" s="27"/>
    </row>
    <row r="35" spans="2:24" ht="15.75" thickBot="1" x14ac:dyDescent="0.3">
      <c r="B35" s="330"/>
      <c r="C35" s="95" t="s">
        <v>74</v>
      </c>
      <c r="D35" s="187">
        <f>$E$34*$E$33/100</f>
        <v>6.7080000000000001E-2</v>
      </c>
      <c r="E35" s="287" t="str">
        <f>IF(VLOOKUP(G$12,Hypothèses!C12:C17,1,0)=Hypothèses!C13,D35*$G$11,"N/A")</f>
        <v>N/A</v>
      </c>
      <c r="F35" s="221"/>
      <c r="G35" s="97" t="s">
        <v>54</v>
      </c>
      <c r="H35" s="144" t="str">
        <f>IF(VLOOKUP(G$12,Hypothèses!C12:C17,1,0)=Hypothèses!C13,D35*$G$13,"N/A")</f>
        <v>N/A</v>
      </c>
      <c r="I35" s="98">
        <f>IF(H35="N/A", 0, H35/$G$13)</f>
        <v>0</v>
      </c>
      <c r="J35" s="99">
        <f>IF(H35="N/A",0,H35/$H$74)</f>
        <v>0</v>
      </c>
      <c r="K35" s="84"/>
      <c r="L35" s="330"/>
      <c r="M35" s="95" t="s">
        <v>74</v>
      </c>
      <c r="N35" s="187">
        <f>$O$34*$O$33/100</f>
        <v>6.7080000000000001E-2</v>
      </c>
      <c r="O35" s="287" t="str">
        <f>IF(VLOOKUP(Q$12,Hypothèses!$E$12:$E$17,1,0)=Hypothèses!M13,N35*$G$11,"N/A")</f>
        <v>N/A</v>
      </c>
      <c r="P35" s="221"/>
      <c r="Q35" s="97" t="s">
        <v>54</v>
      </c>
      <c r="R35" s="144" t="str">
        <f>IF(VLOOKUP(Q$12,Hypothèses!$E$12:$E$17,1,0)=Hypothèses!E13,N35*$Q$13,"N/A")</f>
        <v>N/A</v>
      </c>
      <c r="S35" s="98">
        <f>IF(R35="N/A", 0, R35/$G$13)</f>
        <v>0</v>
      </c>
      <c r="T35" s="99">
        <f>IF(R35="N/A",0,R35/$R$74)</f>
        <v>0</v>
      </c>
      <c r="V35" s="338"/>
      <c r="W35" s="19"/>
      <c r="X35" s="27"/>
    </row>
    <row r="36" spans="2:24" ht="15.75" thickBot="1" x14ac:dyDescent="0.3">
      <c r="B36" s="330"/>
      <c r="C36" s="10"/>
      <c r="D36" s="101"/>
      <c r="E36" s="283"/>
      <c r="F36" s="93"/>
      <c r="G36" s="102"/>
      <c r="H36" s="142"/>
      <c r="I36" s="103"/>
      <c r="J36" s="92"/>
      <c r="K36" s="84"/>
      <c r="L36" s="330"/>
      <c r="M36" s="10"/>
      <c r="N36" s="101"/>
      <c r="O36" s="283"/>
      <c r="P36" s="93"/>
      <c r="Q36" s="102"/>
      <c r="R36" s="142"/>
      <c r="S36" s="103"/>
      <c r="T36" s="92"/>
      <c r="V36" s="338"/>
      <c r="W36" s="19"/>
      <c r="X36" s="27"/>
    </row>
    <row r="37" spans="2:24" ht="15.75" thickBot="1" x14ac:dyDescent="0.3">
      <c r="B37" s="330"/>
      <c r="C37" s="105" t="s">
        <v>84</v>
      </c>
      <c r="D37" s="106"/>
      <c r="E37" s="284"/>
      <c r="F37" s="111"/>
      <c r="G37" s="112"/>
      <c r="H37" s="143"/>
      <c r="I37" s="109"/>
      <c r="J37" s="110"/>
      <c r="K37" s="133"/>
      <c r="L37" s="330"/>
      <c r="M37" s="105" t="s">
        <v>84</v>
      </c>
      <c r="N37" s="106"/>
      <c r="O37" s="302"/>
      <c r="P37" s="111"/>
      <c r="Q37" s="112"/>
      <c r="R37" s="143"/>
      <c r="S37" s="109"/>
      <c r="T37" s="110"/>
      <c r="V37" s="338"/>
      <c r="W37" s="19"/>
      <c r="X37" s="27"/>
    </row>
    <row r="38" spans="2:24" x14ac:dyDescent="0.25">
      <c r="B38" s="330"/>
      <c r="C38" s="9" t="s">
        <v>53</v>
      </c>
      <c r="D38" s="116"/>
      <c r="E38" s="285">
        <f>IF(D38="",F38,D38)</f>
        <v>5.2</v>
      </c>
      <c r="F38" s="79">
        <v>5.2</v>
      </c>
      <c r="G38" s="90" t="s">
        <v>46</v>
      </c>
      <c r="H38" s="142"/>
      <c r="I38" s="89"/>
      <c r="J38" s="94"/>
      <c r="K38" s="84"/>
      <c r="L38" s="330"/>
      <c r="M38" s="9" t="s">
        <v>53</v>
      </c>
      <c r="N38" s="116"/>
      <c r="O38" s="285">
        <f>IF(N38="",P38,N38)</f>
        <v>5.2</v>
      </c>
      <c r="P38" s="79">
        <v>5.2</v>
      </c>
      <c r="Q38" s="90" t="s">
        <v>46</v>
      </c>
      <c r="R38" s="142"/>
      <c r="S38" s="89"/>
      <c r="T38" s="94"/>
      <c r="V38" s="338"/>
      <c r="W38" s="19"/>
      <c r="X38" s="27"/>
    </row>
    <row r="39" spans="2:24" ht="15.75" thickBot="1" x14ac:dyDescent="0.3">
      <c r="B39" s="330"/>
      <c r="C39" s="9" t="s">
        <v>64</v>
      </c>
      <c r="D39" s="197"/>
      <c r="E39" s="286">
        <f>IF(D39="",F39,D39)</f>
        <v>1.35</v>
      </c>
      <c r="F39" s="199">
        <v>1.35</v>
      </c>
      <c r="G39" s="91" t="s">
        <v>52</v>
      </c>
      <c r="H39" s="142"/>
      <c r="I39" s="89"/>
      <c r="J39" s="94"/>
      <c r="K39" s="84"/>
      <c r="L39" s="330"/>
      <c r="M39" s="9" t="s">
        <v>64</v>
      </c>
      <c r="N39" s="197"/>
      <c r="O39" s="286">
        <f>IF(N39="",P39,N39)</f>
        <v>1.35</v>
      </c>
      <c r="P39" s="199">
        <v>1.35</v>
      </c>
      <c r="Q39" s="91" t="s">
        <v>52</v>
      </c>
      <c r="R39" s="142"/>
      <c r="S39" s="89"/>
      <c r="T39" s="94"/>
      <c r="V39" s="338"/>
      <c r="W39" s="19"/>
      <c r="X39" s="27"/>
    </row>
    <row r="40" spans="2:24" ht="15.75" thickBot="1" x14ac:dyDescent="0.3">
      <c r="B40" s="330"/>
      <c r="C40" s="95" t="s">
        <v>74</v>
      </c>
      <c r="D40" s="187">
        <f>$E$39*$E$38/100</f>
        <v>7.0199999999999999E-2</v>
      </c>
      <c r="E40" s="287" t="str">
        <f>IF(VLOOKUP(G$12,Hypothèses!C12:C17,1,0)=Hypothèses!C14,D40*$G$11,"N/A")</f>
        <v>N/A</v>
      </c>
      <c r="F40" s="221"/>
      <c r="G40" s="97" t="s">
        <v>54</v>
      </c>
      <c r="H40" s="144" t="str">
        <f>IF(VLOOKUP(G$12,Hypothèses!C12:C17,1,0)=Hypothèses!C14,D40*$G$13,"N/A")</f>
        <v>N/A</v>
      </c>
      <c r="I40" s="98">
        <f>IF(H40="N/A", 0, H40/$G$13)</f>
        <v>0</v>
      </c>
      <c r="J40" s="99">
        <f>IF(H40="N/A",0,H40/$H$74)</f>
        <v>0</v>
      </c>
      <c r="K40" s="84"/>
      <c r="L40" s="330"/>
      <c r="M40" s="95" t="s">
        <v>74</v>
      </c>
      <c r="N40" s="187">
        <f>$O$39*$O$38/100</f>
        <v>7.0199999999999999E-2</v>
      </c>
      <c r="O40" s="287" t="str">
        <f>IF(VLOOKUP(Q$12,Hypothèses!$E$12:$E$17,1,0)=Hypothèses!M14,N40*$G$11,"N/A")</f>
        <v>N/A</v>
      </c>
      <c r="P40" s="221"/>
      <c r="Q40" s="97" t="s">
        <v>54</v>
      </c>
      <c r="R40" s="144" t="str">
        <f>IF(VLOOKUP(Q$12,Hypothèses!$E$12:$E$17,1,0)=Hypothèses!E14,N40*$Q$13,"N/A")</f>
        <v>N/A</v>
      </c>
      <c r="S40" s="98">
        <f>IF(R40="N/A", 0, R40/$G$13)</f>
        <v>0</v>
      </c>
      <c r="T40" s="99">
        <f>IF(R40="N/A",0,R40/$R$74)</f>
        <v>0</v>
      </c>
      <c r="V40" s="338"/>
      <c r="W40" s="19"/>
      <c r="X40" s="27"/>
    </row>
    <row r="41" spans="2:24" ht="15.75" thickBot="1" x14ac:dyDescent="0.3">
      <c r="B41" s="330"/>
      <c r="C41" s="10"/>
      <c r="D41" s="101"/>
      <c r="E41" s="283"/>
      <c r="F41" s="93"/>
      <c r="G41" s="102"/>
      <c r="H41" s="142"/>
      <c r="I41" s="103"/>
      <c r="J41" s="92"/>
      <c r="K41" s="84"/>
      <c r="L41" s="330"/>
      <c r="M41" s="10"/>
      <c r="N41" s="101"/>
      <c r="O41" s="283"/>
      <c r="P41" s="93"/>
      <c r="Q41" s="102"/>
      <c r="R41" s="142"/>
      <c r="S41" s="103"/>
      <c r="T41" s="92"/>
      <c r="V41" s="338"/>
      <c r="W41" s="19"/>
      <c r="X41" s="27"/>
    </row>
    <row r="42" spans="2:24" ht="15.75" thickBot="1" x14ac:dyDescent="0.3">
      <c r="B42" s="330"/>
      <c r="C42" s="105" t="s">
        <v>78</v>
      </c>
      <c r="D42" s="106"/>
      <c r="E42" s="284"/>
      <c r="F42" s="107"/>
      <c r="G42" s="108"/>
      <c r="H42" s="143"/>
      <c r="I42" s="109"/>
      <c r="J42" s="110"/>
      <c r="K42" s="84"/>
      <c r="L42" s="330"/>
      <c r="M42" s="105" t="s">
        <v>78</v>
      </c>
      <c r="N42" s="106"/>
      <c r="O42" s="302"/>
      <c r="P42" s="107"/>
      <c r="Q42" s="108"/>
      <c r="R42" s="143"/>
      <c r="S42" s="109"/>
      <c r="T42" s="110"/>
      <c r="V42" s="338"/>
      <c r="W42" s="19"/>
      <c r="X42" s="27"/>
    </row>
    <row r="43" spans="2:24" x14ac:dyDescent="0.25">
      <c r="B43" s="330"/>
      <c r="C43" s="9" t="s">
        <v>79</v>
      </c>
      <c r="D43" s="182"/>
      <c r="E43" s="285">
        <f>IF(D43="",F43,D43)</f>
        <v>16</v>
      </c>
      <c r="F43" s="79">
        <v>16</v>
      </c>
      <c r="G43" s="90" t="s">
        <v>75</v>
      </c>
      <c r="H43" s="142"/>
      <c r="I43" s="89"/>
      <c r="J43" s="94"/>
      <c r="K43" s="84"/>
      <c r="L43" s="330"/>
      <c r="M43" s="9" t="s">
        <v>79</v>
      </c>
      <c r="N43" s="182"/>
      <c r="O43" s="285">
        <f>IF(N43="",P43,N43)</f>
        <v>16</v>
      </c>
      <c r="P43" s="79">
        <v>16</v>
      </c>
      <c r="Q43" s="90" t="s">
        <v>75</v>
      </c>
      <c r="R43" s="142"/>
      <c r="S43" s="89"/>
      <c r="T43" s="94"/>
      <c r="V43" s="338"/>
      <c r="W43" s="19"/>
      <c r="X43" s="27"/>
    </row>
    <row r="44" spans="2:24" x14ac:dyDescent="0.25">
      <c r="B44" s="330"/>
      <c r="C44" s="10" t="s">
        <v>96</v>
      </c>
      <c r="D44" s="197"/>
      <c r="E44" s="286">
        <f>IF(D44="",F44,D44)</f>
        <v>0.08</v>
      </c>
      <c r="F44" s="199">
        <v>0.08</v>
      </c>
      <c r="G44" s="80" t="s">
        <v>73</v>
      </c>
      <c r="H44" s="145"/>
      <c r="I44" s="27"/>
      <c r="J44" s="104"/>
      <c r="K44" s="113"/>
      <c r="L44" s="330"/>
      <c r="M44" s="10" t="s">
        <v>96</v>
      </c>
      <c r="N44" s="197"/>
      <c r="O44" s="286">
        <f>IF(N44="",P44,N44)</f>
        <v>0.08</v>
      </c>
      <c r="P44" s="199">
        <v>0.08</v>
      </c>
      <c r="Q44" s="80" t="s">
        <v>73</v>
      </c>
      <c r="R44" s="145"/>
      <c r="S44" s="27"/>
      <c r="T44" s="104"/>
      <c r="V44" s="338"/>
      <c r="W44" s="19"/>
      <c r="X44" s="27"/>
    </row>
    <row r="45" spans="2:24" ht="15.75" thickBot="1" x14ac:dyDescent="0.3">
      <c r="B45" s="330"/>
      <c r="C45" s="95" t="s">
        <v>89</v>
      </c>
      <c r="D45" s="198">
        <f>$E$44*E43/100</f>
        <v>1.2800000000000001E-2</v>
      </c>
      <c r="E45" s="287" t="str">
        <f>IF(VLOOKUP(G$12,Hypothèses!C12:C17,1,0)=Hypothèses!C16,D45*$G$11,"N/A")</f>
        <v>N/A</v>
      </c>
      <c r="F45" s="221"/>
      <c r="G45" s="97" t="s">
        <v>54</v>
      </c>
      <c r="H45" s="144" t="str">
        <f>IF(VLOOKUP(G$12,Hypothèses!C12:C17,1,0)=Hypothèses!C16,D45*$G$13,"N/A")</f>
        <v>N/A</v>
      </c>
      <c r="I45" s="98">
        <f>IF(H45="N/A", 0, H45/$G$13)</f>
        <v>0</v>
      </c>
      <c r="J45" s="99">
        <f>IF(H45="N/A",0,H45/$H$74)</f>
        <v>0</v>
      </c>
      <c r="K45" s="84"/>
      <c r="L45" s="330"/>
      <c r="M45" s="95" t="s">
        <v>89</v>
      </c>
      <c r="N45" s="198">
        <f>$O$44*$O$43/100</f>
        <v>1.2800000000000001E-2</v>
      </c>
      <c r="O45" s="287" t="str">
        <f>IF(VLOOKUP(Q$12,Hypothèses!$E$12:$E$17,1,0)=Hypothèses!M16,N45*$G$11,"N/A")</f>
        <v>N/A</v>
      </c>
      <c r="P45" s="221"/>
      <c r="Q45" s="97" t="s">
        <v>54</v>
      </c>
      <c r="R45" s="146" t="str">
        <f>IF(VLOOKUP(Q$12,Hypothèses!$E$12:$E$17,1,0)=Hypothèses!E16,N45*$Q$13,"N/A")</f>
        <v>N/A</v>
      </c>
      <c r="S45" s="98">
        <f>IF(R45="N/A", 0, R45/$G$13)</f>
        <v>0</v>
      </c>
      <c r="T45" s="99">
        <f>IF(R45="N/A",0,R45/$R$74)</f>
        <v>0</v>
      </c>
      <c r="V45" s="338"/>
      <c r="W45" s="19"/>
      <c r="X45" s="27"/>
    </row>
    <row r="46" spans="2:24" ht="15.75" thickBot="1" x14ac:dyDescent="0.3">
      <c r="B46" s="330"/>
      <c r="C46" s="10"/>
      <c r="D46" s="101"/>
      <c r="E46" s="283"/>
      <c r="F46" s="93"/>
      <c r="G46" s="102"/>
      <c r="H46" s="142"/>
      <c r="I46" s="103"/>
      <c r="J46" s="92"/>
      <c r="K46" s="84"/>
      <c r="L46" s="330"/>
      <c r="M46" s="10"/>
      <c r="N46" s="101"/>
      <c r="O46" s="283"/>
      <c r="P46" s="93"/>
      <c r="Q46" s="102"/>
      <c r="R46" s="142"/>
      <c r="S46" s="103"/>
      <c r="T46" s="92"/>
      <c r="V46" s="338"/>
      <c r="W46" s="19"/>
      <c r="X46" s="27"/>
    </row>
    <row r="47" spans="2:24" ht="15.75" thickBot="1" x14ac:dyDescent="0.3">
      <c r="B47" s="330"/>
      <c r="C47" s="105" t="s">
        <v>77</v>
      </c>
      <c r="D47" s="106"/>
      <c r="E47" s="284"/>
      <c r="F47" s="107"/>
      <c r="G47" s="108"/>
      <c r="H47" s="143"/>
      <c r="I47" s="109"/>
      <c r="J47" s="110"/>
      <c r="K47" s="84"/>
      <c r="L47" s="330"/>
      <c r="M47" s="105" t="s">
        <v>77</v>
      </c>
      <c r="N47" s="106"/>
      <c r="O47" s="302"/>
      <c r="P47" s="107"/>
      <c r="Q47" s="108"/>
      <c r="R47" s="143"/>
      <c r="S47" s="109"/>
      <c r="T47" s="110"/>
      <c r="V47" s="338"/>
      <c r="W47" s="19"/>
      <c r="X47" s="27"/>
    </row>
    <row r="48" spans="2:24" x14ac:dyDescent="0.25">
      <c r="B48" s="330"/>
      <c r="C48" s="9" t="s">
        <v>80</v>
      </c>
      <c r="D48" s="182"/>
      <c r="E48" s="285">
        <f>IF(D48="",F48,D48)</f>
        <v>4.7</v>
      </c>
      <c r="F48" s="79">
        <v>4.7</v>
      </c>
      <c r="G48" s="90" t="s">
        <v>46</v>
      </c>
      <c r="H48" s="142"/>
      <c r="I48" s="89"/>
      <c r="J48" s="94"/>
      <c r="K48" s="84"/>
      <c r="L48" s="330"/>
      <c r="M48" s="9" t="s">
        <v>80</v>
      </c>
      <c r="N48" s="182"/>
      <c r="O48" s="285">
        <f>IF(N48="",P48,N48)</f>
        <v>4.7</v>
      </c>
      <c r="P48" s="79">
        <v>4.7</v>
      </c>
      <c r="Q48" s="90" t="s">
        <v>46</v>
      </c>
      <c r="R48" s="142"/>
      <c r="S48" s="89"/>
      <c r="T48" s="94"/>
      <c r="V48" s="338"/>
      <c r="W48" s="19"/>
      <c r="X48" s="27"/>
    </row>
    <row r="49" spans="2:26" ht="15.75" thickBot="1" x14ac:dyDescent="0.3">
      <c r="B49" s="330"/>
      <c r="C49" s="9" t="s">
        <v>64</v>
      </c>
      <c r="D49" s="197"/>
      <c r="E49" s="286">
        <f>IF(D49="",F49,D49)</f>
        <v>1.35</v>
      </c>
      <c r="F49" s="199">
        <v>1.35</v>
      </c>
      <c r="G49" s="80" t="s">
        <v>85</v>
      </c>
      <c r="H49" s="145"/>
      <c r="I49" s="27"/>
      <c r="J49" s="104"/>
      <c r="K49" s="84"/>
      <c r="L49" s="330"/>
      <c r="M49" s="9" t="s">
        <v>64</v>
      </c>
      <c r="N49" s="197"/>
      <c r="O49" s="286">
        <f>IF(N49="",P49,N49)</f>
        <v>1.35</v>
      </c>
      <c r="P49" s="199">
        <v>1.35</v>
      </c>
      <c r="Q49" s="80" t="s">
        <v>85</v>
      </c>
      <c r="R49" s="145"/>
      <c r="S49" s="27"/>
      <c r="T49" s="104"/>
      <c r="V49" s="338"/>
      <c r="W49" s="19"/>
      <c r="X49" s="27"/>
    </row>
    <row r="50" spans="2:26" ht="15.75" thickBot="1" x14ac:dyDescent="0.3">
      <c r="B50" s="330"/>
      <c r="C50" s="95" t="s">
        <v>74</v>
      </c>
      <c r="D50" s="187">
        <f>$E$49*$E$48/100</f>
        <v>6.3450000000000006E-2</v>
      </c>
      <c r="E50" s="287" t="str">
        <f>IF(VLOOKUP(G$12,Hypothèses!C12:C27,1,0)=Hypothèses!C15,D50*$G$11,"N/A")</f>
        <v>N/A</v>
      </c>
      <c r="F50" s="221"/>
      <c r="G50" s="97" t="s">
        <v>54</v>
      </c>
      <c r="H50" s="144" t="str">
        <f>IF(VLOOKUP(G$12,Hypothèses!C12:C17,1,0)=Hypothèses!C15,D50*$G$13,"N/A")</f>
        <v>N/A</v>
      </c>
      <c r="I50" s="98">
        <f>IF(H50="N/A", 0, H50/$G$13)</f>
        <v>0</v>
      </c>
      <c r="J50" s="99">
        <f>IF(H50="N/A",0,H50/$H$74)</f>
        <v>0</v>
      </c>
      <c r="K50" s="84"/>
      <c r="L50" s="330"/>
      <c r="M50" s="95" t="s">
        <v>74</v>
      </c>
      <c r="N50" s="187">
        <f>$O$49*$O$48/100</f>
        <v>6.3450000000000006E-2</v>
      </c>
      <c r="O50" s="287" t="str">
        <f>IF(VLOOKUP(Q$12,Hypothèses!$E$12:$E$17,1,0)=Hypothèses!M15,N50*$G$11,"N/A")</f>
        <v>N/A</v>
      </c>
      <c r="P50" s="221"/>
      <c r="Q50" s="97" t="s">
        <v>54</v>
      </c>
      <c r="R50" s="144">
        <f>IF(VLOOKUP(Q$12,Hypothèses!$E$12:$E$17,1,0)=Hypothèses!E15,N50*$G$13,"N/A")</f>
        <v>1269.0000000000002</v>
      </c>
      <c r="S50" s="98">
        <f>IF(R50="N/A", 0, R50/$G$13)</f>
        <v>6.3450000000000006E-2</v>
      </c>
      <c r="T50" s="99">
        <f>IF(R50="N/A",0,R50/$R$74)</f>
        <v>0.1856892010535558</v>
      </c>
      <c r="V50" s="338"/>
      <c r="W50" s="19"/>
      <c r="X50" s="27"/>
    </row>
    <row r="51" spans="2:26" ht="15.75" thickBot="1" x14ac:dyDescent="0.3">
      <c r="B51" s="330"/>
      <c r="C51" s="10"/>
      <c r="D51" s="101"/>
      <c r="E51" s="283"/>
      <c r="F51" s="93"/>
      <c r="G51" s="102"/>
      <c r="H51" s="142"/>
      <c r="I51" s="103"/>
      <c r="J51" s="92"/>
      <c r="K51" s="84"/>
      <c r="L51" s="330"/>
      <c r="M51" s="10"/>
      <c r="N51" s="101"/>
      <c r="O51" s="283"/>
      <c r="P51" s="93"/>
      <c r="Q51" s="102"/>
      <c r="R51" s="142"/>
      <c r="S51" s="103"/>
      <c r="T51" s="92"/>
      <c r="V51" s="338"/>
      <c r="W51" s="19"/>
      <c r="X51" s="27"/>
    </row>
    <row r="52" spans="2:26" ht="15.75" thickBot="1" x14ac:dyDescent="0.3">
      <c r="B52" s="330"/>
      <c r="C52" s="105" t="s">
        <v>76</v>
      </c>
      <c r="D52" s="106"/>
      <c r="E52" s="284"/>
      <c r="F52" s="107"/>
      <c r="G52" s="108"/>
      <c r="H52" s="143"/>
      <c r="I52" s="109"/>
      <c r="J52" s="110"/>
      <c r="K52" s="84"/>
      <c r="L52" s="330"/>
      <c r="M52" s="105" t="s">
        <v>76</v>
      </c>
      <c r="N52" s="106"/>
      <c r="O52" s="302"/>
      <c r="P52" s="107"/>
      <c r="Q52" s="108"/>
      <c r="R52" s="143"/>
      <c r="S52" s="109"/>
      <c r="T52" s="110"/>
      <c r="V52" s="338"/>
      <c r="W52" s="19"/>
      <c r="X52" s="27"/>
    </row>
    <row r="53" spans="2:26" x14ac:dyDescent="0.25">
      <c r="B53" s="330"/>
      <c r="C53" s="9" t="s">
        <v>79</v>
      </c>
      <c r="D53" s="182"/>
      <c r="E53" s="285">
        <f>IF(D53="",F53,D53)</f>
        <v>20</v>
      </c>
      <c r="F53" s="79">
        <v>20</v>
      </c>
      <c r="G53" s="90" t="s">
        <v>75</v>
      </c>
      <c r="H53" s="142"/>
      <c r="I53" s="89"/>
      <c r="J53" s="94"/>
      <c r="K53" s="84"/>
      <c r="L53" s="330"/>
      <c r="M53" s="9" t="s">
        <v>79</v>
      </c>
      <c r="N53" s="182"/>
      <c r="O53" s="285">
        <f>IF(N53="",P53,N53)</f>
        <v>20</v>
      </c>
      <c r="P53" s="79">
        <v>20</v>
      </c>
      <c r="Q53" s="90" t="s">
        <v>75</v>
      </c>
      <c r="R53" s="142"/>
      <c r="S53" s="89"/>
      <c r="T53" s="94"/>
      <c r="V53" s="338"/>
      <c r="W53" s="19"/>
      <c r="X53" s="27"/>
    </row>
    <row r="54" spans="2:26" x14ac:dyDescent="0.25">
      <c r="B54" s="330"/>
      <c r="C54" s="10" t="s">
        <v>95</v>
      </c>
      <c r="D54" s="197"/>
      <c r="E54" s="286">
        <f>IF(D54="",F54,D54)</f>
        <v>0.08</v>
      </c>
      <c r="F54" s="199">
        <v>0.08</v>
      </c>
      <c r="G54" s="80" t="s">
        <v>73</v>
      </c>
      <c r="H54" s="142"/>
      <c r="I54" s="89"/>
      <c r="J54" s="94"/>
      <c r="K54" s="84"/>
      <c r="L54" s="330"/>
      <c r="M54" s="10" t="s">
        <v>95</v>
      </c>
      <c r="N54" s="197"/>
      <c r="O54" s="286">
        <f>IF(N54="",P54,N54)</f>
        <v>0.08</v>
      </c>
      <c r="P54" s="199">
        <v>0.08</v>
      </c>
      <c r="Q54" s="80" t="s">
        <v>73</v>
      </c>
      <c r="R54" s="142"/>
      <c r="S54" s="89"/>
      <c r="T54" s="94"/>
      <c r="V54" s="338"/>
      <c r="W54" s="19"/>
      <c r="X54" s="27"/>
    </row>
    <row r="55" spans="2:26" x14ac:dyDescent="0.25">
      <c r="B55" s="330"/>
      <c r="C55" s="10" t="s">
        <v>97</v>
      </c>
      <c r="D55" s="116"/>
      <c r="E55" s="288">
        <f>IF(D55="",F55,D55)</f>
        <v>60</v>
      </c>
      <c r="F55" s="79">
        <v>60</v>
      </c>
      <c r="G55" s="80" t="s">
        <v>98</v>
      </c>
      <c r="H55" s="142"/>
      <c r="I55" s="89"/>
      <c r="J55" s="94"/>
      <c r="K55" s="84"/>
      <c r="L55" s="330"/>
      <c r="M55" s="10" t="s">
        <v>97</v>
      </c>
      <c r="N55" s="116"/>
      <c r="O55" s="285">
        <f>IF(N55="",P55,N55)</f>
        <v>60</v>
      </c>
      <c r="P55" s="79">
        <v>60</v>
      </c>
      <c r="Q55" s="80" t="s">
        <v>98</v>
      </c>
      <c r="R55" s="142"/>
      <c r="S55" s="89"/>
      <c r="T55" s="94"/>
      <c r="V55" s="338"/>
      <c r="W55" s="19"/>
      <c r="X55" s="27"/>
    </row>
    <row r="56" spans="2:26" ht="15.75" thickBot="1" x14ac:dyDescent="0.3">
      <c r="B56" s="330"/>
      <c r="C56" s="10" t="s">
        <v>124</v>
      </c>
      <c r="D56" s="116"/>
      <c r="E56" s="288">
        <f>IF(D56="",F56,D56)</f>
        <v>75</v>
      </c>
      <c r="F56" s="79">
        <v>75</v>
      </c>
      <c r="G56" s="80" t="s">
        <v>126</v>
      </c>
      <c r="H56" s="142"/>
      <c r="I56" s="89"/>
      <c r="J56" s="94"/>
      <c r="K56" s="84"/>
      <c r="L56" s="330"/>
      <c r="M56" s="10" t="s">
        <v>124</v>
      </c>
      <c r="N56" s="116"/>
      <c r="O56" s="288">
        <f>IF(N56="",P56,N56)</f>
        <v>75</v>
      </c>
      <c r="P56" s="79">
        <v>75</v>
      </c>
      <c r="Q56" s="80" t="s">
        <v>126</v>
      </c>
      <c r="R56" s="142"/>
      <c r="S56" s="89"/>
      <c r="T56" s="94"/>
      <c r="V56" s="338"/>
      <c r="W56" s="19"/>
      <c r="X56" s="27"/>
    </row>
    <row r="57" spans="2:26" ht="15.75" thickBot="1" x14ac:dyDescent="0.3">
      <c r="B57" s="330"/>
      <c r="C57" s="10" t="s">
        <v>100</v>
      </c>
      <c r="D57" s="135">
        <f>E55/E56</f>
        <v>0.8</v>
      </c>
      <c r="E57" s="289"/>
      <c r="F57" s="134"/>
      <c r="G57" s="80" t="s">
        <v>101</v>
      </c>
      <c r="H57" s="142"/>
      <c r="I57" s="89"/>
      <c r="J57" s="94"/>
      <c r="K57" s="84"/>
      <c r="L57" s="330"/>
      <c r="M57" s="10" t="s">
        <v>100</v>
      </c>
      <c r="N57" s="135">
        <f>O55/O56</f>
        <v>0.8</v>
      </c>
      <c r="O57" s="289"/>
      <c r="P57" s="134"/>
      <c r="Q57" s="80" t="s">
        <v>101</v>
      </c>
      <c r="R57" s="142"/>
      <c r="S57" s="89"/>
      <c r="T57" s="94"/>
      <c r="V57" s="338"/>
      <c r="W57" s="19"/>
      <c r="X57" s="27"/>
    </row>
    <row r="58" spans="2:26" ht="15.75" thickBot="1" x14ac:dyDescent="0.3">
      <c r="B58" s="330"/>
      <c r="C58" s="136" t="s">
        <v>89</v>
      </c>
      <c r="D58" s="210">
        <f>$E$54*$E$53/100*D57</f>
        <v>1.2800000000000001E-2</v>
      </c>
      <c r="E58" s="287">
        <f>IF(VLOOKUP(G$12,Hypothèses!C12:C17,1,0)=Hypothèses!C17,D58*$G$11,"N/A")</f>
        <v>1.2800000000000001E-2</v>
      </c>
      <c r="F58" s="222"/>
      <c r="G58" s="137" t="s">
        <v>54</v>
      </c>
      <c r="H58" s="147">
        <f>IF(VLOOKUP(G$12,Hypothèses!C12:C17,1,0)=Hypothèses!C17,D58*$G$13,"N/A")</f>
        <v>256</v>
      </c>
      <c r="I58" s="138">
        <f>IF(H58="N/A", 0, H58/$G$13)</f>
        <v>1.2800000000000001E-2</v>
      </c>
      <c r="J58" s="139">
        <f>IF(H58="N/A",0,H58/$H$74)</f>
        <v>4.1513962313106084E-2</v>
      </c>
      <c r="K58" s="84"/>
      <c r="L58" s="330"/>
      <c r="M58" s="136" t="s">
        <v>89</v>
      </c>
      <c r="N58" s="210">
        <f>$O$54*$O$53/100*N57</f>
        <v>1.2800000000000001E-2</v>
      </c>
      <c r="O58" s="287" t="str">
        <f>IF(VLOOKUP(Q$12,Hypothèses!$E$12:$E$17,1,0)=Hypothèses!M17,N58*$G$11,"N/A")</f>
        <v>N/A</v>
      </c>
      <c r="P58" s="222"/>
      <c r="Q58" s="137" t="s">
        <v>54</v>
      </c>
      <c r="R58" s="147" t="str">
        <f>IF(VLOOKUP(Q$12,Hypothèses!$E$12:$E$17,1,0)=Hypothèses!E17,N58*$G$13,"N/A")</f>
        <v>N/A</v>
      </c>
      <c r="S58" s="138">
        <f>IF(R58="N/A", 0, R58/$G$13)</f>
        <v>0</v>
      </c>
      <c r="T58" s="139">
        <f>IF(R58="N/A",0,R58/$R$74)</f>
        <v>0</v>
      </c>
      <c r="V58" s="338"/>
      <c r="W58" s="19"/>
      <c r="X58" s="27"/>
    </row>
    <row r="59" spans="2:26" x14ac:dyDescent="0.25">
      <c r="B59" s="330"/>
      <c r="C59" s="9" t="s">
        <v>81</v>
      </c>
      <c r="D59" s="116"/>
      <c r="E59" s="285">
        <f>IF(D59="",F59,D59)</f>
        <v>6.4</v>
      </c>
      <c r="F59" s="79">
        <v>6.4</v>
      </c>
      <c r="G59" s="90" t="s">
        <v>46</v>
      </c>
      <c r="H59" s="142"/>
      <c r="I59" s="89"/>
      <c r="J59" s="94"/>
      <c r="K59" s="84"/>
      <c r="L59" s="330"/>
      <c r="M59" s="9" t="s">
        <v>81</v>
      </c>
      <c r="N59" s="116"/>
      <c r="O59" s="285">
        <f>IF(N59="",P59,N59)</f>
        <v>6.4</v>
      </c>
      <c r="P59" s="79">
        <v>6.4</v>
      </c>
      <c r="Q59" s="90" t="s">
        <v>46</v>
      </c>
      <c r="R59" s="142"/>
      <c r="S59" s="89"/>
      <c r="T59" s="94"/>
      <c r="V59" s="338"/>
      <c r="W59" s="19"/>
      <c r="X59" s="27"/>
    </row>
    <row r="60" spans="2:26" ht="15.75" thickBot="1" x14ac:dyDescent="0.3">
      <c r="B60" s="330"/>
      <c r="C60" s="9" t="s">
        <v>64</v>
      </c>
      <c r="D60" s="197"/>
      <c r="E60" s="286">
        <f>IF(D60="",F60,D60)</f>
        <v>1.35</v>
      </c>
      <c r="F60" s="199">
        <v>1.35</v>
      </c>
      <c r="G60" s="91" t="s">
        <v>52</v>
      </c>
      <c r="H60" s="142"/>
      <c r="I60" s="89"/>
      <c r="J60" s="94"/>
      <c r="K60" s="84"/>
      <c r="L60" s="330"/>
      <c r="M60" s="9" t="s">
        <v>64</v>
      </c>
      <c r="N60" s="197"/>
      <c r="O60" s="286">
        <f>IF(N60="",P60,N60)</f>
        <v>1.35</v>
      </c>
      <c r="P60" s="199">
        <v>1.35</v>
      </c>
      <c r="Q60" s="91" t="s">
        <v>52</v>
      </c>
      <c r="R60" s="142"/>
      <c r="S60" s="89"/>
      <c r="T60" s="94"/>
      <c r="V60" s="338"/>
      <c r="W60" s="19"/>
      <c r="X60" s="27"/>
    </row>
    <row r="61" spans="2:26" ht="15.75" thickBot="1" x14ac:dyDescent="0.3">
      <c r="B61" s="330"/>
      <c r="C61" s="10" t="s">
        <v>102</v>
      </c>
      <c r="D61" s="135">
        <f>(1-D57)</f>
        <v>0.19999999999999996</v>
      </c>
      <c r="E61" s="289"/>
      <c r="F61" s="134"/>
      <c r="G61" s="80" t="s">
        <v>101</v>
      </c>
      <c r="H61" s="142"/>
      <c r="I61" s="89"/>
      <c r="J61" s="94"/>
      <c r="K61" s="84"/>
      <c r="L61" s="330"/>
      <c r="M61" s="10" t="s">
        <v>102</v>
      </c>
      <c r="N61" s="135">
        <f>(1-N57)</f>
        <v>0.19999999999999996</v>
      </c>
      <c r="O61" s="289"/>
      <c r="P61" s="134"/>
      <c r="Q61" s="80" t="s">
        <v>101</v>
      </c>
      <c r="R61" s="142"/>
      <c r="S61" s="89"/>
      <c r="T61" s="94"/>
      <c r="V61" s="338"/>
      <c r="W61" s="19"/>
      <c r="X61" s="27"/>
    </row>
    <row r="62" spans="2:26" ht="15.75" thickBot="1" x14ac:dyDescent="0.3">
      <c r="B62" s="330"/>
      <c r="C62" s="95" t="s">
        <v>44</v>
      </c>
      <c r="D62" s="187">
        <f>E60*E59/100*D61</f>
        <v>1.7279999999999997E-2</v>
      </c>
      <c r="E62" s="287">
        <f>IF(VLOOKUP(G$12,Hypothèses!C12:C17,1,0)=Hypothèses!C17,D62*$G$11,"N/A")</f>
        <v>1.7279999999999997E-2</v>
      </c>
      <c r="F62" s="221"/>
      <c r="G62" s="97" t="s">
        <v>54</v>
      </c>
      <c r="H62" s="144">
        <f>IF(VLOOKUP(G$12,Hypothèses!C12:C17,1,0)=Hypothèses!C17,D62*$G$13,"N/A")</f>
        <v>345.59999999999991</v>
      </c>
      <c r="I62" s="98">
        <f>IF(H62="N/A", 0, H62/$G$13)</f>
        <v>1.7279999999999997E-2</v>
      </c>
      <c r="J62" s="99">
        <f>IF(H62="N/A",0,H62/$H$74)</f>
        <v>5.6043849122693203E-2</v>
      </c>
      <c r="K62" s="84"/>
      <c r="L62" s="330"/>
      <c r="M62" s="95" t="s">
        <v>44</v>
      </c>
      <c r="N62" s="187">
        <f>O60*O59/100*N61</f>
        <v>1.7279999999999997E-2</v>
      </c>
      <c r="O62" s="287" t="str">
        <f>IF(VLOOKUP(Q$12,Hypothèses!$E$12:$E$17,1,0)=Hypothèses!M17,N62*$G$11,"N/A")</f>
        <v>N/A</v>
      </c>
      <c r="P62" s="221"/>
      <c r="Q62" s="97" t="s">
        <v>54</v>
      </c>
      <c r="R62" s="144" t="str">
        <f>IF(VLOOKUP(Q$12,Hypothèses!$E$12:$E$17,1,0)=Hypothèses!E17,N62*$G$13,"N/A")</f>
        <v>N/A</v>
      </c>
      <c r="S62" s="98">
        <f>IF(R62="N/A", 0, R62/$G$13)</f>
        <v>0</v>
      </c>
      <c r="T62" s="99">
        <f>IF(R62="N/A",0,R62/$R$74)</f>
        <v>0</v>
      </c>
      <c r="V62" s="350">
        <f>SUM(H30:H62)-SUM(R30:R62)</f>
        <v>-667.40000000000032</v>
      </c>
      <c r="W62" s="19" t="s">
        <v>153</v>
      </c>
      <c r="X62" s="27"/>
      <c r="Z62" s="19" t="s">
        <v>117</v>
      </c>
    </row>
    <row r="63" spans="2:26" ht="15.75" thickBot="1" x14ac:dyDescent="0.3">
      <c r="B63" s="330"/>
      <c r="C63" s="10"/>
      <c r="D63" s="101"/>
      <c r="E63" s="283"/>
      <c r="F63" s="93"/>
      <c r="G63" s="102"/>
      <c r="H63" s="142"/>
      <c r="I63" s="103"/>
      <c r="J63" s="92"/>
      <c r="K63" s="84"/>
      <c r="L63" s="330"/>
      <c r="M63" s="10"/>
      <c r="N63" s="101"/>
      <c r="O63" s="283"/>
      <c r="P63" s="93"/>
      <c r="Q63" s="102"/>
      <c r="R63" s="142"/>
      <c r="S63" s="103"/>
      <c r="T63" s="92"/>
      <c r="V63" s="335"/>
      <c r="W63" s="19"/>
      <c r="X63" s="27"/>
      <c r="Z63" s="19"/>
    </row>
    <row r="64" spans="2:26" ht="30.75" thickBot="1" x14ac:dyDescent="0.3">
      <c r="B64" s="330"/>
      <c r="C64" s="270" t="s">
        <v>149</v>
      </c>
      <c r="D64" s="211">
        <v>2</v>
      </c>
      <c r="E64" s="290"/>
      <c r="F64" s="271"/>
      <c r="G64" s="120" t="s">
        <v>18</v>
      </c>
      <c r="H64" s="148"/>
      <c r="I64" s="123"/>
      <c r="J64" s="121"/>
      <c r="K64" s="84"/>
      <c r="L64" s="330"/>
      <c r="M64" s="270" t="s">
        <v>149</v>
      </c>
      <c r="N64" s="36">
        <v>2</v>
      </c>
      <c r="O64" s="290"/>
      <c r="P64" s="122"/>
      <c r="Q64" s="120" t="s">
        <v>18</v>
      </c>
      <c r="R64" s="148"/>
      <c r="S64" s="123"/>
      <c r="T64" s="121"/>
      <c r="V64" s="338"/>
      <c r="W64" s="19"/>
      <c r="X64" s="27"/>
    </row>
    <row r="65" spans="1:26" ht="30.75" thickBot="1" x14ac:dyDescent="0.3">
      <c r="B65" s="330"/>
      <c r="C65" s="254" t="s">
        <v>145</v>
      </c>
      <c r="D65" s="212">
        <v>100</v>
      </c>
      <c r="E65" s="282"/>
      <c r="F65" s="218"/>
      <c r="G65" s="46"/>
      <c r="H65" s="141">
        <f>D64*D65*$G$11</f>
        <v>200</v>
      </c>
      <c r="I65" s="47">
        <f>D65/($G$13)</f>
        <v>5.0000000000000001E-3</v>
      </c>
      <c r="J65" s="115">
        <f>H65/$H$74</f>
        <v>3.2432783057114126E-2</v>
      </c>
      <c r="K65" s="84"/>
      <c r="L65" s="330"/>
      <c r="M65" s="254" t="s">
        <v>145</v>
      </c>
      <c r="N65" s="42">
        <v>100</v>
      </c>
      <c r="O65" s="303"/>
      <c r="P65" s="74"/>
      <c r="Q65" s="46"/>
      <c r="R65" s="149">
        <f>N64*N65*$G$11</f>
        <v>200</v>
      </c>
      <c r="S65" s="6">
        <f>R65/($Q$13)</f>
        <v>0.01</v>
      </c>
      <c r="T65" s="115">
        <f>R65/$R$74</f>
        <v>2.9265437518290898E-2</v>
      </c>
      <c r="V65" s="349">
        <f>H65-R65</f>
        <v>0</v>
      </c>
      <c r="W65" s="19" t="s">
        <v>21</v>
      </c>
      <c r="X65" s="27"/>
      <c r="Z65" s="19"/>
    </row>
    <row r="66" spans="1:26" ht="17.25" customHeight="1" thickBot="1" x14ac:dyDescent="0.3">
      <c r="B66" s="330"/>
      <c r="C66" s="255" t="s">
        <v>146</v>
      </c>
      <c r="D66" s="213">
        <v>2</v>
      </c>
      <c r="E66" s="282"/>
      <c r="F66" s="218"/>
      <c r="G66" s="90" t="s">
        <v>115</v>
      </c>
      <c r="H66" s="150"/>
      <c r="I66" s="174"/>
      <c r="J66" s="124"/>
      <c r="K66" s="84"/>
      <c r="L66" s="330"/>
      <c r="M66" s="255" t="s">
        <v>146</v>
      </c>
      <c r="N66" s="172">
        <v>2</v>
      </c>
      <c r="O66" s="303"/>
      <c r="P66" s="74"/>
      <c r="Q66" s="90" t="s">
        <v>115</v>
      </c>
      <c r="R66" s="150"/>
      <c r="S66" s="174"/>
      <c r="T66" s="124"/>
      <c r="V66" s="338"/>
      <c r="W66" s="19"/>
      <c r="X66" s="27"/>
      <c r="Z66" s="19"/>
    </row>
    <row r="67" spans="1:26" ht="17.25" customHeight="1" thickBot="1" x14ac:dyDescent="0.3">
      <c r="B67" s="330"/>
      <c r="C67" s="256" t="s">
        <v>147</v>
      </c>
      <c r="D67" s="213">
        <v>250</v>
      </c>
      <c r="E67" s="282"/>
      <c r="F67" s="218"/>
      <c r="G67" s="9"/>
      <c r="H67" s="141">
        <f>D66*D67*$G$11</f>
        <v>500</v>
      </c>
      <c r="I67" s="47">
        <f>D67/($G$13)</f>
        <v>1.2500000000000001E-2</v>
      </c>
      <c r="J67" s="115">
        <f>H67/$H$74</f>
        <v>8.1081957642785321E-2</v>
      </c>
      <c r="K67" s="84"/>
      <c r="L67" s="330"/>
      <c r="M67" s="256" t="s">
        <v>147</v>
      </c>
      <c r="N67" s="172">
        <v>250</v>
      </c>
      <c r="O67" s="303"/>
      <c r="P67" s="74"/>
      <c r="Q67" s="9"/>
      <c r="R67" s="141">
        <f>N66*N67*$Q$11</f>
        <v>500</v>
      </c>
      <c r="S67" s="47">
        <f>N67/($Q$13)</f>
        <v>1.2500000000000001E-2</v>
      </c>
      <c r="T67" s="115">
        <f>R67/$R$74</f>
        <v>7.3163593795727247E-2</v>
      </c>
      <c r="V67" s="349">
        <f>H67-R67</f>
        <v>0</v>
      </c>
      <c r="W67" s="19" t="s">
        <v>116</v>
      </c>
      <c r="X67" s="27"/>
      <c r="Z67" s="19"/>
    </row>
    <row r="68" spans="1:26" ht="15.75" thickBot="1" x14ac:dyDescent="0.3">
      <c r="B68" s="330"/>
      <c r="C68" s="10" t="s">
        <v>22</v>
      </c>
      <c r="D68" s="214">
        <v>7</v>
      </c>
      <c r="E68" s="291"/>
      <c r="F68" s="217"/>
      <c r="G68" s="90" t="s">
        <v>23</v>
      </c>
      <c r="H68" s="150"/>
      <c r="I68" s="117"/>
      <c r="J68" s="124"/>
      <c r="K68" s="84"/>
      <c r="L68" s="330"/>
      <c r="M68" s="231" t="s">
        <v>22</v>
      </c>
      <c r="N68" s="37">
        <v>7</v>
      </c>
      <c r="O68" s="291"/>
      <c r="P68" s="73"/>
      <c r="Q68" s="90" t="s">
        <v>23</v>
      </c>
      <c r="R68" s="150"/>
      <c r="S68" s="117"/>
      <c r="T68" s="124"/>
      <c r="V68" s="335"/>
      <c r="W68" s="19"/>
      <c r="X68" s="27"/>
      <c r="Z68" s="19"/>
    </row>
    <row r="69" spans="1:26" ht="15.75" thickBot="1" x14ac:dyDescent="0.3">
      <c r="B69" s="330"/>
      <c r="C69" s="10" t="s">
        <v>19</v>
      </c>
      <c r="D69" s="215">
        <v>30</v>
      </c>
      <c r="E69" s="282"/>
      <c r="F69" s="176"/>
      <c r="G69" s="90" t="s">
        <v>20</v>
      </c>
      <c r="H69" s="151"/>
      <c r="I69" s="118"/>
      <c r="J69" s="125"/>
      <c r="K69" s="84"/>
      <c r="L69" s="330"/>
      <c r="M69" s="231" t="s">
        <v>19</v>
      </c>
      <c r="N69" s="41">
        <v>30</v>
      </c>
      <c r="O69" s="282"/>
      <c r="P69" s="72"/>
      <c r="Q69" s="90" t="s">
        <v>20</v>
      </c>
      <c r="R69" s="151"/>
      <c r="S69" s="118"/>
      <c r="T69" s="125"/>
      <c r="V69" s="338"/>
      <c r="W69" s="19"/>
      <c r="X69" s="27"/>
      <c r="Z69" s="19"/>
    </row>
    <row r="70" spans="1:26" ht="15.75" thickBot="1" x14ac:dyDescent="0.3">
      <c r="B70" s="330"/>
      <c r="C70" s="10" t="s">
        <v>10</v>
      </c>
      <c r="D70" s="219">
        <f>D68*D69</f>
        <v>210</v>
      </c>
      <c r="E70" s="292"/>
      <c r="F70" s="216"/>
      <c r="G70" s="86"/>
      <c r="H70" s="141">
        <f>D70</f>
        <v>210</v>
      </c>
      <c r="I70" s="47">
        <f>D70/$G$13</f>
        <v>1.0500000000000001E-2</v>
      </c>
      <c r="J70" s="115">
        <f>H70/$H$74</f>
        <v>3.4054422209969834E-2</v>
      </c>
      <c r="K70" s="84"/>
      <c r="L70" s="330"/>
      <c r="M70" s="231" t="s">
        <v>10</v>
      </c>
      <c r="N70" s="220">
        <f>N68*N69</f>
        <v>210</v>
      </c>
      <c r="O70" s="292"/>
      <c r="P70" s="75"/>
      <c r="Q70" s="86"/>
      <c r="R70" s="141">
        <f>N70</f>
        <v>210</v>
      </c>
      <c r="S70" s="47">
        <f>R70/$Q$13</f>
        <v>1.0500000000000001E-2</v>
      </c>
      <c r="T70" s="115">
        <f>R70/$R$74</f>
        <v>3.0728709394205442E-2</v>
      </c>
      <c r="V70" s="349">
        <f>H70-R70</f>
        <v>0</v>
      </c>
      <c r="W70" s="19" t="s">
        <v>10</v>
      </c>
      <c r="X70" s="27"/>
      <c r="Z70" s="19"/>
    </row>
    <row r="71" spans="1:26" ht="15.75" thickBot="1" x14ac:dyDescent="0.3">
      <c r="B71" s="331"/>
      <c r="C71" s="95" t="s">
        <v>128</v>
      </c>
      <c r="D71" s="215">
        <v>100</v>
      </c>
      <c r="E71" s="293"/>
      <c r="F71" s="272"/>
      <c r="G71" s="97"/>
      <c r="H71" s="144">
        <f>D71*$G$11</f>
        <v>100</v>
      </c>
      <c r="I71" s="273">
        <f>D71/$G$13</f>
        <v>5.0000000000000001E-3</v>
      </c>
      <c r="J71" s="99">
        <f>H71/$H$74</f>
        <v>1.6216391528557063E-2</v>
      </c>
      <c r="K71" s="84"/>
      <c r="L71" s="331"/>
      <c r="M71" s="231" t="s">
        <v>61</v>
      </c>
      <c r="N71" s="41">
        <v>100</v>
      </c>
      <c r="O71" s="304"/>
      <c r="P71" s="75"/>
      <c r="Q71" s="86"/>
      <c r="R71" s="152">
        <f>N71*$G$11</f>
        <v>100</v>
      </c>
      <c r="S71" s="47">
        <f>R71/$Q$13</f>
        <v>5.0000000000000001E-3</v>
      </c>
      <c r="T71" s="115">
        <f>R71/$R$74</f>
        <v>1.4632718759145449E-2</v>
      </c>
      <c r="V71" s="349">
        <f t="shared" ref="V71:V74" si="7">H71-R71</f>
        <v>0</v>
      </c>
      <c r="W71" s="19" t="s">
        <v>61</v>
      </c>
      <c r="X71" s="27"/>
      <c r="Z71" s="19"/>
    </row>
    <row r="72" spans="1:26" ht="15.75" thickBot="1" x14ac:dyDescent="0.3">
      <c r="B72" s="35" t="s">
        <v>11</v>
      </c>
      <c r="C72" s="51" t="s">
        <v>119</v>
      </c>
      <c r="D72" s="127">
        <v>100</v>
      </c>
      <c r="E72" s="294"/>
      <c r="F72" s="128"/>
      <c r="G72" s="87"/>
      <c r="H72" s="146">
        <f>D72</f>
        <v>100</v>
      </c>
      <c r="I72" s="235">
        <f>D72/$G$13</f>
        <v>5.0000000000000001E-3</v>
      </c>
      <c r="J72" s="205">
        <f>H72/$H$74</f>
        <v>1.6216391528557063E-2</v>
      </c>
      <c r="K72" s="84"/>
      <c r="L72" s="35" t="s">
        <v>11</v>
      </c>
      <c r="M72" s="177" t="s">
        <v>119</v>
      </c>
      <c r="N72" s="41">
        <v>100</v>
      </c>
      <c r="O72" s="305"/>
      <c r="P72" s="178"/>
      <c r="Q72" s="179"/>
      <c r="R72" s="180">
        <f>N72</f>
        <v>100</v>
      </c>
      <c r="S72" s="181">
        <f>N72/$Q$13</f>
        <v>5.0000000000000001E-3</v>
      </c>
      <c r="T72" s="99">
        <f>R72/$R$74</f>
        <v>1.4632718759145449E-2</v>
      </c>
      <c r="V72" s="351">
        <f t="shared" si="7"/>
        <v>0</v>
      </c>
      <c r="W72" s="19" t="s">
        <v>119</v>
      </c>
      <c r="X72" s="27"/>
      <c r="Z72" s="19"/>
    </row>
    <row r="73" spans="1:26" ht="15.75" thickBot="1" x14ac:dyDescent="0.3">
      <c r="C73" s="33" t="s">
        <v>0</v>
      </c>
      <c r="D73" s="34"/>
      <c r="E73" s="295"/>
      <c r="F73" s="34"/>
      <c r="G73" s="34"/>
      <c r="H73" s="39"/>
      <c r="I73" s="39"/>
      <c r="J73" s="40"/>
      <c r="M73" s="33" t="s">
        <v>0</v>
      </c>
      <c r="N73" s="34"/>
      <c r="O73" s="306"/>
      <c r="P73" s="34"/>
      <c r="Q73" s="34"/>
      <c r="R73" s="39"/>
      <c r="S73" s="39"/>
      <c r="T73" s="40"/>
      <c r="V73" s="19"/>
      <c r="W73" s="19"/>
      <c r="Z73" s="30"/>
    </row>
    <row r="74" spans="1:26" ht="15.75" thickBot="1" x14ac:dyDescent="0.3">
      <c r="C74" s="19"/>
      <c r="D74" s="28"/>
      <c r="E74" s="283"/>
      <c r="F74" s="28"/>
      <c r="G74" s="29" t="s">
        <v>49</v>
      </c>
      <c r="H74" s="5">
        <f>SUM(H16:H72)</f>
        <v>6166.6</v>
      </c>
      <c r="I74" s="5">
        <f>SUM(I16:I72)</f>
        <v>0.58707999999999994</v>
      </c>
      <c r="J74" s="275">
        <f>SUM(J16:J72)</f>
        <v>0.99999999999999989</v>
      </c>
      <c r="K74" s="19"/>
      <c r="M74" s="19"/>
      <c r="N74" s="28"/>
      <c r="O74" s="307"/>
      <c r="P74" s="28"/>
      <c r="Q74" s="29" t="s">
        <v>49</v>
      </c>
      <c r="R74" s="5">
        <f>SUM(R16:R72)</f>
        <v>6834</v>
      </c>
      <c r="S74" s="5">
        <f>SUM(S16:S72)</f>
        <v>0.62544999999999995</v>
      </c>
      <c r="T74" s="274">
        <f>SUM(T16:T72)</f>
        <v>1.0705526218772876</v>
      </c>
      <c r="V74" s="352">
        <f t="shared" si="7"/>
        <v>-667.39999999999964</v>
      </c>
      <c r="W74" s="30" t="s">
        <v>14</v>
      </c>
    </row>
    <row r="75" spans="1:26" ht="30" x14ac:dyDescent="0.25">
      <c r="H75" s="82" t="str">
        <f>"pour "&amp;D6&amp;" "&amp;F6</f>
        <v>pour 20000 km annuel estimé</v>
      </c>
      <c r="I75" s="83" t="s">
        <v>58</v>
      </c>
      <c r="N75" s="12"/>
      <c r="P75" s="12"/>
      <c r="Q75" s="12"/>
      <c r="R75" s="82" t="str">
        <f>"pour "&amp;D6&amp;" "&amp;F6</f>
        <v>pour 20000 km annuel estimé</v>
      </c>
      <c r="S75" s="83" t="s">
        <v>58</v>
      </c>
    </row>
    <row r="76" spans="1:26" x14ac:dyDescent="0.25">
      <c r="A76" s="31"/>
    </row>
    <row r="77" spans="1:26" x14ac:dyDescent="0.25">
      <c r="A77" s="32"/>
    </row>
    <row r="88" spans="4:7" ht="15.75" customHeight="1" x14ac:dyDescent="0.25">
      <c r="D88" s="11"/>
      <c r="F88" s="11"/>
      <c r="G88" s="11"/>
    </row>
    <row r="89" spans="4:7" ht="15.75" customHeight="1" x14ac:dyDescent="0.25">
      <c r="D89" s="11"/>
      <c r="F89" s="11"/>
      <c r="G89" s="11"/>
    </row>
    <row r="90" spans="4:7" ht="15.75" customHeight="1" x14ac:dyDescent="0.25">
      <c r="D90" s="11"/>
      <c r="F90" s="11"/>
      <c r="G90" s="11"/>
    </row>
    <row r="91" spans="4:7" ht="15.75" customHeight="1" x14ac:dyDescent="0.25">
      <c r="D91" s="11"/>
      <c r="F91" s="11"/>
      <c r="G91" s="11"/>
    </row>
    <row r="92" spans="4:7" ht="15.75" customHeight="1" x14ac:dyDescent="0.25">
      <c r="D92" s="11"/>
      <c r="F92" s="11"/>
      <c r="G92" s="11"/>
    </row>
    <row r="93" spans="4:7" ht="15.75" customHeight="1" x14ac:dyDescent="0.25">
      <c r="D93" s="11"/>
      <c r="F93" s="11"/>
      <c r="G93" s="11"/>
    </row>
    <row r="94" spans="4:7" ht="15.75" customHeight="1" x14ac:dyDescent="0.25">
      <c r="D94" s="11"/>
      <c r="F94" s="11"/>
      <c r="G94" s="11"/>
    </row>
    <row r="95" spans="4:7" ht="15.75" customHeight="1" x14ac:dyDescent="0.25"/>
    <row r="96" spans="4:7" ht="15.75" customHeight="1" x14ac:dyDescent="0.25"/>
    <row r="97" spans="3:9" ht="15.75" customHeight="1" x14ac:dyDescent="0.25"/>
    <row r="98" spans="3:9" ht="15.75" customHeight="1" thickBot="1" x14ac:dyDescent="0.3"/>
    <row r="99" spans="3:9" ht="17.25" customHeight="1" x14ac:dyDescent="0.25">
      <c r="C99" s="8"/>
      <c r="D99" s="55" t="s">
        <v>16</v>
      </c>
      <c r="E99" s="296"/>
      <c r="F99" s="55"/>
      <c r="G99" s="26" t="s">
        <v>17</v>
      </c>
    </row>
    <row r="100" spans="3:9" x14ac:dyDescent="0.25">
      <c r="C100" s="9" t="s">
        <v>105</v>
      </c>
      <c r="D100" s="49">
        <f>H16</f>
        <v>1000</v>
      </c>
      <c r="E100" s="297"/>
      <c r="F100" s="49"/>
      <c r="G100" s="50">
        <f>R16</f>
        <v>1000</v>
      </c>
    </row>
    <row r="101" spans="3:9" x14ac:dyDescent="0.25">
      <c r="C101" s="9" t="s">
        <v>99</v>
      </c>
      <c r="D101" s="49">
        <f>H17</f>
        <v>150</v>
      </c>
      <c r="E101" s="297"/>
      <c r="F101" s="49"/>
      <c r="G101" s="50">
        <f>R17</f>
        <v>150</v>
      </c>
    </row>
    <row r="102" spans="3:9" x14ac:dyDescent="0.25">
      <c r="C102" s="252" t="s">
        <v>148</v>
      </c>
      <c r="D102" s="49">
        <f>H18</f>
        <v>130</v>
      </c>
      <c r="E102" s="297"/>
      <c r="F102" s="49"/>
      <c r="G102" s="50">
        <f>R18</f>
        <v>130</v>
      </c>
    </row>
    <row r="103" spans="3:9" x14ac:dyDescent="0.25">
      <c r="C103" s="185" t="s">
        <v>123</v>
      </c>
      <c r="D103" s="49">
        <f>H19</f>
        <v>1900</v>
      </c>
      <c r="E103" s="297"/>
      <c r="F103" s="49"/>
      <c r="G103" s="50">
        <f>R19</f>
        <v>1900</v>
      </c>
    </row>
    <row r="104" spans="3:9" x14ac:dyDescent="0.25">
      <c r="C104" s="9" t="s">
        <v>106</v>
      </c>
      <c r="D104" s="49">
        <f>H21</f>
        <v>25</v>
      </c>
      <c r="E104" s="297"/>
      <c r="F104" s="49"/>
      <c r="G104" s="50">
        <f>R21</f>
        <v>25</v>
      </c>
    </row>
    <row r="105" spans="3:9" x14ac:dyDescent="0.25">
      <c r="C105" s="9" t="s">
        <v>41</v>
      </c>
      <c r="D105" s="49">
        <f t="shared" ref="D105:D108" si="8">H22</f>
        <v>1000</v>
      </c>
      <c r="E105" s="297"/>
      <c r="F105" s="49"/>
      <c r="G105" s="50">
        <f>R22</f>
        <v>1000</v>
      </c>
    </row>
    <row r="106" spans="3:9" x14ac:dyDescent="0.25">
      <c r="C106" s="9" t="s">
        <v>112</v>
      </c>
      <c r="D106" s="49">
        <f t="shared" si="8"/>
        <v>50</v>
      </c>
      <c r="E106" s="297"/>
      <c r="F106" s="49"/>
      <c r="G106" s="50">
        <f>R23</f>
        <v>50</v>
      </c>
      <c r="I106" s="27"/>
    </row>
    <row r="107" spans="3:9" x14ac:dyDescent="0.25">
      <c r="C107" s="9" t="s">
        <v>42</v>
      </c>
      <c r="D107" s="49">
        <f t="shared" si="8"/>
        <v>100</v>
      </c>
      <c r="E107" s="297"/>
      <c r="F107" s="49"/>
      <c r="G107" s="50">
        <f>R24</f>
        <v>100</v>
      </c>
    </row>
    <row r="108" spans="3:9" x14ac:dyDescent="0.25">
      <c r="C108" s="9" t="s">
        <v>103</v>
      </c>
      <c r="D108" s="49">
        <f t="shared" si="8"/>
        <v>100</v>
      </c>
      <c r="E108" s="297"/>
      <c r="F108" s="49"/>
      <c r="G108" s="50">
        <f>R25</f>
        <v>100</v>
      </c>
    </row>
    <row r="109" spans="3:9" x14ac:dyDescent="0.25">
      <c r="C109" s="9" t="s">
        <v>9</v>
      </c>
      <c r="D109" s="49">
        <f>SUM(H30:H62)</f>
        <v>601.59999999999991</v>
      </c>
      <c r="E109" s="297"/>
      <c r="F109" s="49"/>
      <c r="G109" s="50">
        <f>SUM(R30:R62)</f>
        <v>1269.0000000000002</v>
      </c>
    </row>
    <row r="110" spans="3:9" x14ac:dyDescent="0.25">
      <c r="C110" s="10" t="s">
        <v>117</v>
      </c>
      <c r="D110" s="49">
        <f>H65</f>
        <v>200</v>
      </c>
      <c r="E110" s="297"/>
      <c r="F110" s="49"/>
      <c r="G110" s="50">
        <f>R65</f>
        <v>200</v>
      </c>
    </row>
    <row r="111" spans="3:9" x14ac:dyDescent="0.25">
      <c r="C111" s="10" t="s">
        <v>116</v>
      </c>
      <c r="D111" s="49">
        <f>H67</f>
        <v>500</v>
      </c>
      <c r="E111" s="297"/>
      <c r="F111" s="49"/>
      <c r="G111" s="50">
        <f>R67</f>
        <v>500</v>
      </c>
    </row>
    <row r="112" spans="3:9" x14ac:dyDescent="0.25">
      <c r="C112" s="10" t="s">
        <v>10</v>
      </c>
      <c r="D112" s="49">
        <f>H70</f>
        <v>210</v>
      </c>
      <c r="E112" s="297"/>
      <c r="F112" s="49"/>
      <c r="G112" s="50">
        <f>R70</f>
        <v>210</v>
      </c>
    </row>
    <row r="113" spans="3:7" x14ac:dyDescent="0.25">
      <c r="C113" s="10" t="s">
        <v>127</v>
      </c>
      <c r="D113" s="49">
        <f>H71</f>
        <v>100</v>
      </c>
      <c r="E113" s="297"/>
      <c r="F113" s="49"/>
      <c r="G113" s="50">
        <f>R71</f>
        <v>100</v>
      </c>
    </row>
    <row r="114" spans="3:7" ht="15.75" thickBot="1" x14ac:dyDescent="0.3">
      <c r="C114" s="95" t="s">
        <v>119</v>
      </c>
      <c r="D114" s="223">
        <f>H72</f>
        <v>100</v>
      </c>
      <c r="E114" s="298"/>
      <c r="F114" s="140"/>
      <c r="G114" s="224">
        <f>R72</f>
        <v>100</v>
      </c>
    </row>
  </sheetData>
  <sheetProtection selectLockedCells="1"/>
  <dataConsolidate/>
  <mergeCells count="7">
    <mergeCell ref="V14:W14"/>
    <mergeCell ref="C14:G14"/>
    <mergeCell ref="M14:Q14"/>
    <mergeCell ref="B16:B18"/>
    <mergeCell ref="B20:B71"/>
    <mergeCell ref="L16:L18"/>
    <mergeCell ref="L20:L71"/>
  </mergeCells>
  <pageMargins left="0.7" right="0.7" top="0.75" bottom="0.75" header="0.3" footer="0.3"/>
  <pageSetup orientation="portrait" verticalDpi="12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Hypothèses!$C$12:$C$17</xm:f>
          </x14:formula1>
          <xm:sqref>G12</xm:sqref>
        </x14:dataValidation>
        <x14:dataValidation type="list" allowBlank="1" showInputMessage="1" showErrorMessage="1">
          <x14:formula1>
            <xm:f>Hypothèses!$E$12:$E$17</xm:f>
          </x14:formula1>
          <xm:sqref>Q12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5"/>
  <sheetViews>
    <sheetView topLeftCell="L37" zoomScale="70" zoomScaleNormal="70" workbookViewId="0">
      <selection activeCell="Q13" sqref="Q13"/>
    </sheetView>
  </sheetViews>
  <sheetFormatPr defaultColWidth="11.42578125" defaultRowHeight="15" x14ac:dyDescent="0.25"/>
  <cols>
    <col min="1" max="1" width="1.140625" style="11" customWidth="1"/>
    <col min="2" max="2" width="13.28515625" style="11" customWidth="1"/>
    <col min="3" max="3" width="64" style="11" customWidth="1"/>
    <col min="4" max="4" width="14.5703125" style="12" customWidth="1"/>
    <col min="5" max="5" width="1" style="16" customWidth="1"/>
    <col min="6" max="6" width="14.140625" style="12" customWidth="1"/>
    <col min="7" max="7" width="28.7109375" style="12" customWidth="1"/>
    <col min="8" max="9" width="18.7109375" style="11" customWidth="1"/>
    <col min="10" max="10" width="16.7109375" style="11" customWidth="1"/>
    <col min="11" max="11" width="14.28515625" style="11" bestFit="1" customWidth="1"/>
    <col min="12" max="12" width="15.85546875" style="11" customWidth="1"/>
    <col min="13" max="13" width="51.7109375" style="11" customWidth="1"/>
    <col min="14" max="14" width="19.28515625" style="11" customWidth="1"/>
    <col min="15" max="15" width="0.7109375" style="16" customWidth="1"/>
    <col min="16" max="16" width="17.7109375" style="11" customWidth="1"/>
    <col min="17" max="17" width="33.28515625" style="11" customWidth="1"/>
    <col min="18" max="18" width="25.28515625" style="11" customWidth="1"/>
    <col min="19" max="19" width="19.28515625" style="11" customWidth="1"/>
    <col min="20" max="20" width="16.28515625" style="11" customWidth="1"/>
    <col min="21" max="16384" width="11.42578125" style="11"/>
  </cols>
  <sheetData>
    <row r="1" spans="2:23" ht="5.25" customHeight="1" thickBot="1" x14ac:dyDescent="0.3"/>
    <row r="2" spans="2:23" ht="15.75" thickBot="1" x14ac:dyDescent="0.3">
      <c r="C2" s="13" t="s">
        <v>35</v>
      </c>
      <c r="D2" s="14"/>
      <c r="E2" s="309"/>
      <c r="F2" s="14"/>
      <c r="G2" s="14"/>
      <c r="H2" s="15"/>
      <c r="I2" s="15"/>
      <c r="J2" s="15"/>
      <c r="K2" s="15"/>
      <c r="L2" s="15"/>
      <c r="M2" s="15"/>
      <c r="N2" s="15"/>
      <c r="O2" s="299"/>
    </row>
    <row r="3" spans="2:23" x14ac:dyDescent="0.25">
      <c r="C3" s="11" t="s">
        <v>24</v>
      </c>
    </row>
    <row r="4" spans="2:23" ht="5.25" customHeight="1" x14ac:dyDescent="0.25"/>
    <row r="5" spans="2:23" x14ac:dyDescent="0.25">
      <c r="C5" s="11" t="s">
        <v>1</v>
      </c>
      <c r="D5" s="12" t="s">
        <v>36</v>
      </c>
      <c r="J5" s="190"/>
    </row>
    <row r="6" spans="2:23" ht="15.75" thickBot="1" x14ac:dyDescent="0.3">
      <c r="C6" s="19"/>
      <c r="J6" s="190"/>
    </row>
    <row r="7" spans="2:23" ht="15.75" thickBot="1" x14ac:dyDescent="0.3">
      <c r="C7" s="11" t="s">
        <v>2</v>
      </c>
      <c r="D7" s="183">
        <v>200</v>
      </c>
      <c r="F7" s="12" t="s">
        <v>133</v>
      </c>
      <c r="G7" s="11"/>
      <c r="J7" s="191"/>
    </row>
    <row r="8" spans="2:23" ht="15.75" thickBot="1" x14ac:dyDescent="0.3">
      <c r="J8" s="191"/>
    </row>
    <row r="9" spans="2:23" ht="15.75" thickBot="1" x14ac:dyDescent="0.3">
      <c r="C9" s="16" t="s">
        <v>3</v>
      </c>
      <c r="G9" s="17" t="s">
        <v>4</v>
      </c>
      <c r="J9" s="191"/>
    </row>
    <row r="10" spans="2:23" ht="15.75" thickBot="1" x14ac:dyDescent="0.3">
      <c r="G10" s="18" t="s">
        <v>5</v>
      </c>
      <c r="J10" s="27"/>
    </row>
    <row r="11" spans="2:23" ht="15.75" thickBot="1" x14ac:dyDescent="0.3">
      <c r="H11" s="12"/>
      <c r="J11" s="27"/>
      <c r="L11" s="19"/>
      <c r="M11" s="19"/>
      <c r="N11" s="19"/>
      <c r="O11" s="29"/>
      <c r="P11" s="19"/>
      <c r="Q11" s="19"/>
      <c r="R11" s="19"/>
      <c r="S11" s="19"/>
      <c r="T11" s="19"/>
      <c r="U11" s="19"/>
      <c r="V11" s="19"/>
    </row>
    <row r="12" spans="2:23" ht="15.75" thickBot="1" x14ac:dyDescent="0.3">
      <c r="C12" s="43" t="s">
        <v>38</v>
      </c>
      <c r="H12" s="12"/>
      <c r="J12" s="27"/>
      <c r="M12" s="43" t="s">
        <v>39</v>
      </c>
      <c r="N12" s="19"/>
      <c r="O12" s="29"/>
      <c r="P12" s="19"/>
      <c r="Q12" s="19"/>
      <c r="R12" s="19"/>
      <c r="U12" s="19"/>
      <c r="V12" s="19"/>
    </row>
    <row r="13" spans="2:23" ht="15.75" thickBot="1" x14ac:dyDescent="0.3">
      <c r="C13" s="20" t="s">
        <v>72</v>
      </c>
      <c r="D13" s="85"/>
      <c r="E13" s="300"/>
      <c r="F13" s="85"/>
      <c r="G13" s="4" t="s">
        <v>69</v>
      </c>
      <c r="M13" s="20" t="s">
        <v>72</v>
      </c>
      <c r="N13" s="85"/>
      <c r="O13" s="300"/>
      <c r="P13" s="85"/>
      <c r="Q13" s="4" t="s">
        <v>118</v>
      </c>
      <c r="U13" s="19"/>
      <c r="V13" s="19"/>
    </row>
    <row r="14" spans="2:23" ht="15.75" thickBot="1" x14ac:dyDescent="0.3">
      <c r="C14" s="20" t="s">
        <v>55</v>
      </c>
      <c r="D14" s="21"/>
      <c r="E14" s="300"/>
      <c r="F14" s="21"/>
      <c r="G14" s="88">
        <f>D7</f>
        <v>200</v>
      </c>
      <c r="H14" s="12" t="s">
        <v>131</v>
      </c>
      <c r="I14" s="12"/>
      <c r="J14" s="22"/>
      <c r="M14" s="20" t="s">
        <v>55</v>
      </c>
      <c r="N14" s="21"/>
      <c r="O14" s="300"/>
      <c r="P14" s="21"/>
      <c r="Q14" s="88">
        <f>D7</f>
        <v>200</v>
      </c>
      <c r="R14" s="12" t="s">
        <v>37</v>
      </c>
      <c r="S14" s="12"/>
      <c r="T14" s="22"/>
      <c r="U14" s="19"/>
      <c r="V14" s="19"/>
    </row>
    <row r="15" spans="2:23" ht="29.25" customHeight="1" thickBot="1" x14ac:dyDescent="0.3">
      <c r="B15" s="23" t="s">
        <v>6</v>
      </c>
      <c r="C15" s="326" t="s">
        <v>13</v>
      </c>
      <c r="D15" s="327"/>
      <c r="E15" s="327"/>
      <c r="F15" s="327"/>
      <c r="G15" s="328"/>
      <c r="H15" s="162" t="s">
        <v>135</v>
      </c>
      <c r="I15" s="81" t="s">
        <v>132</v>
      </c>
      <c r="J15" s="25" t="s">
        <v>15</v>
      </c>
      <c r="L15" s="23" t="s">
        <v>6</v>
      </c>
      <c r="M15" s="326" t="s">
        <v>13</v>
      </c>
      <c r="N15" s="327"/>
      <c r="O15" s="327"/>
      <c r="P15" s="327"/>
      <c r="Q15" s="328"/>
      <c r="R15" s="162" t="s">
        <v>134</v>
      </c>
      <c r="S15" s="81" t="s">
        <v>132</v>
      </c>
      <c r="T15" s="25" t="s">
        <v>15</v>
      </c>
      <c r="U15" s="30"/>
      <c r="V15" s="340" t="s">
        <v>152</v>
      </c>
      <c r="W15" s="341"/>
    </row>
    <row r="16" spans="2:23" ht="17.25" customHeight="1" thickBot="1" x14ac:dyDescent="0.3">
      <c r="B16" s="76"/>
      <c r="C16" s="77"/>
      <c r="D16" s="171"/>
      <c r="E16" s="301"/>
      <c r="F16" s="78" t="s">
        <v>51</v>
      </c>
      <c r="G16" s="24"/>
      <c r="H16" s="159"/>
      <c r="I16" s="160"/>
      <c r="J16" s="161"/>
      <c r="L16" s="76"/>
      <c r="M16" s="77"/>
      <c r="N16" s="171"/>
      <c r="O16" s="301"/>
      <c r="P16" s="78" t="s">
        <v>51</v>
      </c>
      <c r="Q16" s="24"/>
      <c r="R16" s="159"/>
      <c r="S16" s="160"/>
      <c r="T16" s="161"/>
      <c r="U16" s="30"/>
      <c r="V16" s="347"/>
      <c r="W16" s="342"/>
    </row>
    <row r="17" spans="2:24" ht="30" customHeight="1" thickBot="1" x14ac:dyDescent="0.3">
      <c r="B17" s="329" t="s">
        <v>25</v>
      </c>
      <c r="C17" s="225" t="s">
        <v>136</v>
      </c>
      <c r="D17" s="41">
        <v>180</v>
      </c>
      <c r="E17" s="281"/>
      <c r="F17" s="71"/>
      <c r="G17" s="120"/>
      <c r="H17" s="201">
        <f>D17</f>
        <v>180</v>
      </c>
      <c r="I17" s="202">
        <f>H17/(G14)</f>
        <v>0.9</v>
      </c>
      <c r="J17" s="203">
        <f>H17/$H$63</f>
        <v>0.43094160741219567</v>
      </c>
      <c r="K17" s="84"/>
      <c r="L17" s="329" t="s">
        <v>25</v>
      </c>
      <c r="M17" s="226" t="s">
        <v>136</v>
      </c>
      <c r="N17" s="41">
        <v>180</v>
      </c>
      <c r="O17" s="281"/>
      <c r="P17" s="71"/>
      <c r="Q17" s="120"/>
      <c r="R17" s="201">
        <f>N17</f>
        <v>180</v>
      </c>
      <c r="S17" s="202">
        <f>R17/(Q14)</f>
        <v>0.9</v>
      </c>
      <c r="T17" s="203">
        <f>R17/$R$63</f>
        <v>0.4301938740392337</v>
      </c>
      <c r="V17" s="348">
        <f>H17-R17</f>
        <v>0</v>
      </c>
      <c r="W17" s="228" t="s">
        <v>136</v>
      </c>
      <c r="X17" s="27"/>
    </row>
    <row r="18" spans="2:24" ht="15.75" customHeight="1" thickBot="1" x14ac:dyDescent="0.3">
      <c r="B18" s="330"/>
      <c r="C18" s="27" t="s">
        <v>99</v>
      </c>
      <c r="D18" s="41">
        <v>30</v>
      </c>
      <c r="E18" s="282"/>
      <c r="F18" s="72"/>
      <c r="G18" s="90"/>
      <c r="H18" s="204">
        <f>D18</f>
        <v>30</v>
      </c>
      <c r="I18" s="156">
        <f>H18/(G14)</f>
        <v>0.15</v>
      </c>
      <c r="J18" s="205">
        <f>H18/$H$63</f>
        <v>7.1823601235365936E-2</v>
      </c>
      <c r="K18" s="84"/>
      <c r="L18" s="330"/>
      <c r="M18" s="229" t="s">
        <v>99</v>
      </c>
      <c r="N18" s="41">
        <v>30</v>
      </c>
      <c r="O18" s="282"/>
      <c r="P18" s="72"/>
      <c r="Q18" s="90"/>
      <c r="R18" s="204">
        <f>N18</f>
        <v>30</v>
      </c>
      <c r="S18" s="156">
        <f>R18/(Q14)</f>
        <v>0.15</v>
      </c>
      <c r="T18" s="203">
        <f>R18/$R$63</f>
        <v>7.1698979006538946E-2</v>
      </c>
      <c r="V18" s="349">
        <f>H18-R18</f>
        <v>0</v>
      </c>
      <c r="W18" s="227" t="s">
        <v>99</v>
      </c>
      <c r="X18" s="27"/>
    </row>
    <row r="19" spans="2:24" ht="15.75" thickBot="1" x14ac:dyDescent="0.3">
      <c r="B19" s="329" t="s">
        <v>8</v>
      </c>
      <c r="C19" s="11" t="s">
        <v>106</v>
      </c>
      <c r="D19" s="41">
        <v>0.25</v>
      </c>
      <c r="E19" s="282"/>
      <c r="F19" s="72"/>
      <c r="G19" s="163" t="s">
        <v>107</v>
      </c>
      <c r="H19" s="165"/>
      <c r="I19" s="164"/>
      <c r="J19" s="208"/>
      <c r="K19" s="84"/>
      <c r="L19" s="329" t="s">
        <v>8</v>
      </c>
      <c r="M19" s="230" t="s">
        <v>106</v>
      </c>
      <c r="N19" s="41">
        <v>0.25</v>
      </c>
      <c r="O19" s="282"/>
      <c r="P19" s="72"/>
      <c r="Q19" s="163" t="s">
        <v>107</v>
      </c>
      <c r="R19" s="165"/>
      <c r="S19" s="164"/>
      <c r="T19" s="208"/>
      <c r="V19" s="338"/>
      <c r="W19" s="227"/>
      <c r="X19" s="27"/>
    </row>
    <row r="20" spans="2:24" ht="15.75" thickBot="1" x14ac:dyDescent="0.3">
      <c r="B20" s="330"/>
      <c r="C20" s="11" t="s">
        <v>109</v>
      </c>
      <c r="D20" s="209">
        <v>100</v>
      </c>
      <c r="E20" s="282"/>
      <c r="F20" s="72"/>
      <c r="G20" s="163" t="s">
        <v>98</v>
      </c>
      <c r="H20" s="206">
        <f>D20*D19</f>
        <v>25</v>
      </c>
      <c r="I20" s="141">
        <f>H20/D20</f>
        <v>0.25</v>
      </c>
      <c r="J20" s="115">
        <f>H20/$H$63</f>
        <v>5.9853001029471616E-2</v>
      </c>
      <c r="K20" s="84"/>
      <c r="L20" s="330"/>
      <c r="M20" s="230" t="s">
        <v>109</v>
      </c>
      <c r="N20" s="209">
        <v>100</v>
      </c>
      <c r="O20" s="282"/>
      <c r="P20" s="72"/>
      <c r="Q20" s="163" t="s">
        <v>98</v>
      </c>
      <c r="R20" s="206">
        <f>N20*N19</f>
        <v>25</v>
      </c>
      <c r="S20" s="141">
        <f>N19</f>
        <v>0.25</v>
      </c>
      <c r="T20" s="203">
        <f t="shared" ref="T20" si="0">R20/$R$63</f>
        <v>5.9749149172115788E-2</v>
      </c>
      <c r="V20" s="349">
        <f t="shared" ref="V20:V21" si="1">H20-R20</f>
        <v>0</v>
      </c>
      <c r="W20" s="227" t="s">
        <v>106</v>
      </c>
      <c r="X20" s="27"/>
    </row>
    <row r="21" spans="2:24" ht="15.75" thickBot="1" x14ac:dyDescent="0.3">
      <c r="B21" s="330"/>
      <c r="C21" s="9" t="s">
        <v>150</v>
      </c>
      <c r="D21" s="41">
        <v>50</v>
      </c>
      <c r="E21" s="282"/>
      <c r="F21" s="72"/>
      <c r="G21" s="90"/>
      <c r="H21" s="206">
        <f>D21</f>
        <v>50</v>
      </c>
      <c r="I21" s="156">
        <f>H21/(G14)</f>
        <v>0.25</v>
      </c>
      <c r="J21" s="115">
        <f>H21/$H$63</f>
        <v>0.11970600205894323</v>
      </c>
      <c r="K21" s="84"/>
      <c r="L21" s="330"/>
      <c r="M21" s="9" t="s">
        <v>150</v>
      </c>
      <c r="N21" s="41">
        <v>50</v>
      </c>
      <c r="O21" s="282"/>
      <c r="P21" s="72"/>
      <c r="Q21" s="90"/>
      <c r="R21" s="206">
        <f>N21</f>
        <v>50</v>
      </c>
      <c r="S21" s="156">
        <f>R21/(Q14)</f>
        <v>0.25</v>
      </c>
      <c r="T21" s="203">
        <f>R21/$R$63</f>
        <v>0.11949829834423158</v>
      </c>
      <c r="V21" s="349">
        <f t="shared" si="1"/>
        <v>0</v>
      </c>
      <c r="W21" s="227" t="s">
        <v>150</v>
      </c>
      <c r="X21" s="27"/>
    </row>
    <row r="22" spans="2:24" ht="15.75" thickBot="1" x14ac:dyDescent="0.3">
      <c r="B22" s="330"/>
      <c r="C22" s="10"/>
      <c r="D22" s="101"/>
      <c r="E22" s="283"/>
      <c r="F22" s="93"/>
      <c r="G22" s="102"/>
      <c r="H22" s="142"/>
      <c r="I22" s="103"/>
      <c r="J22" s="92"/>
      <c r="K22" s="84"/>
      <c r="L22" s="330"/>
      <c r="M22" s="10"/>
      <c r="N22" s="101"/>
      <c r="O22" s="283"/>
      <c r="P22" s="93"/>
      <c r="Q22" s="102"/>
      <c r="R22" s="142"/>
      <c r="S22" s="103"/>
      <c r="T22" s="92"/>
      <c r="V22" s="338"/>
      <c r="W22" s="10"/>
      <c r="X22" s="27"/>
    </row>
    <row r="23" spans="2:24" ht="15.75" thickBot="1" x14ac:dyDescent="0.3">
      <c r="B23" s="330"/>
      <c r="C23" s="105" t="s">
        <v>82</v>
      </c>
      <c r="D23" s="106"/>
      <c r="E23" s="302"/>
      <c r="F23" s="111"/>
      <c r="G23" s="112"/>
      <c r="H23" s="143"/>
      <c r="I23" s="109"/>
      <c r="J23" s="110"/>
      <c r="K23" s="84"/>
      <c r="L23" s="330"/>
      <c r="M23" s="105" t="s">
        <v>82</v>
      </c>
      <c r="N23" s="106"/>
      <c r="O23" s="302"/>
      <c r="P23" s="111"/>
      <c r="Q23" s="112"/>
      <c r="R23" s="143"/>
      <c r="S23" s="109"/>
      <c r="T23" s="110"/>
      <c r="V23" s="338"/>
      <c r="W23" s="10"/>
      <c r="X23" s="27"/>
    </row>
    <row r="24" spans="2:24" x14ac:dyDescent="0.25">
      <c r="B24" s="330"/>
      <c r="C24" s="9" t="s">
        <v>53</v>
      </c>
      <c r="D24" s="116"/>
      <c r="E24" s="285">
        <f>IF(D24="",F24,D24)</f>
        <v>5.2</v>
      </c>
      <c r="F24" s="79">
        <v>5.2</v>
      </c>
      <c r="G24" s="90" t="s">
        <v>46</v>
      </c>
      <c r="H24" s="142"/>
      <c r="I24" s="89"/>
      <c r="J24" s="94"/>
      <c r="K24" s="84"/>
      <c r="L24" s="330"/>
      <c r="M24" s="9" t="s">
        <v>53</v>
      </c>
      <c r="N24" s="116"/>
      <c r="O24" s="285">
        <f>IF(N24="",P24,N24)</f>
        <v>5.2</v>
      </c>
      <c r="P24" s="79">
        <v>5.2</v>
      </c>
      <c r="Q24" s="90" t="s">
        <v>46</v>
      </c>
      <c r="R24" s="142"/>
      <c r="S24" s="89"/>
      <c r="T24" s="94"/>
      <c r="V24" s="338"/>
      <c r="W24" s="10"/>
      <c r="X24" s="27"/>
    </row>
    <row r="25" spans="2:24" ht="15.75" thickBot="1" x14ac:dyDescent="0.3">
      <c r="B25" s="330"/>
      <c r="C25" s="9" t="s">
        <v>64</v>
      </c>
      <c r="D25" s="197"/>
      <c r="E25" s="286">
        <f>IF(D25="",F25,D25)</f>
        <v>1.35</v>
      </c>
      <c r="F25" s="199">
        <v>1.35</v>
      </c>
      <c r="G25" s="91" t="s">
        <v>52</v>
      </c>
      <c r="H25" s="142"/>
      <c r="I25" s="89"/>
      <c r="J25" s="94"/>
      <c r="K25" s="84"/>
      <c r="L25" s="330"/>
      <c r="M25" s="9" t="s">
        <v>64</v>
      </c>
      <c r="N25" s="197"/>
      <c r="O25" s="286">
        <f>IF(N25="",P25,N25)</f>
        <v>1.35</v>
      </c>
      <c r="P25" s="199">
        <v>1.35</v>
      </c>
      <c r="Q25" s="91" t="s">
        <v>52</v>
      </c>
      <c r="R25" s="142"/>
      <c r="S25" s="89"/>
      <c r="T25" s="94"/>
      <c r="V25" s="338"/>
      <c r="W25" s="10"/>
      <c r="X25" s="27"/>
    </row>
    <row r="26" spans="2:24" ht="15.75" thickBot="1" x14ac:dyDescent="0.3">
      <c r="B26" s="330"/>
      <c r="C26" s="95" t="s">
        <v>74</v>
      </c>
      <c r="D26" s="187">
        <f>$E$25*$E$24/100</f>
        <v>7.0199999999999999E-2</v>
      </c>
      <c r="E26" s="287" t="str">
        <f>IF(VLOOKUP(G$13,Hypothèses!C12:C17,1,0)=Hypothèses!C12,D26*$G$12,"N/A")</f>
        <v>N/A</v>
      </c>
      <c r="F26" s="221"/>
      <c r="G26" s="97" t="s">
        <v>54</v>
      </c>
      <c r="H26" s="144" t="str">
        <f>IF(VLOOKUP(G$13,Hypothèses!C12:C17,1,0)=Hypothèses!C12,D26*$G$14,"N/A")</f>
        <v>N/A</v>
      </c>
      <c r="I26" s="98">
        <f>IF(H26="N/A", 0, H26/$G$14)</f>
        <v>0</v>
      </c>
      <c r="J26" s="99">
        <f>IF(H26="N/A",0,H26/$H$63)</f>
        <v>0</v>
      </c>
      <c r="K26" s="84"/>
      <c r="L26" s="330"/>
      <c r="M26" s="95" t="s">
        <v>74</v>
      </c>
      <c r="N26" s="187">
        <f>$O$25*$O$24/100</f>
        <v>7.0199999999999999E-2</v>
      </c>
      <c r="O26" s="287" t="str">
        <f>IF(VLOOKUP(Q$13,Hypothèses!$E$12:$E$17,1,0)=Hypothèses!M12,N26*$G$12,"N/A")</f>
        <v>N/A</v>
      </c>
      <c r="P26" s="221"/>
      <c r="Q26" s="97" t="s">
        <v>54</v>
      </c>
      <c r="R26" s="144" t="str">
        <f>IF(VLOOKUP(Q$13,Hypothèses!$E$12:$E$17,1,0)=Hypothèses!E12,N26*$Q$14,"N/A")</f>
        <v>N/A</v>
      </c>
      <c r="S26" s="98">
        <f>IF(R26="N/A", 0, R26/$Q$14)</f>
        <v>0</v>
      </c>
      <c r="T26" s="99">
        <f>IF(R26="N/A",0,R26/$R$63)</f>
        <v>0</v>
      </c>
      <c r="V26" s="338"/>
      <c r="W26" s="10"/>
      <c r="X26" s="27"/>
    </row>
    <row r="27" spans="2:24" ht="15.75" thickBot="1" x14ac:dyDescent="0.3">
      <c r="B27" s="330"/>
      <c r="C27" s="10"/>
      <c r="D27" s="101"/>
      <c r="E27" s="283"/>
      <c r="F27" s="93"/>
      <c r="G27" s="102"/>
      <c r="H27" s="142"/>
      <c r="I27" s="103"/>
      <c r="J27" s="92"/>
      <c r="K27" s="84"/>
      <c r="L27" s="330"/>
      <c r="M27" s="10"/>
      <c r="N27" s="101"/>
      <c r="O27" s="283"/>
      <c r="P27" s="93"/>
      <c r="Q27" s="102"/>
      <c r="R27" s="142"/>
      <c r="S27" s="103"/>
      <c r="T27" s="92"/>
      <c r="V27" s="338"/>
      <c r="W27" s="10"/>
      <c r="X27" s="27"/>
    </row>
    <row r="28" spans="2:24" ht="15.75" thickBot="1" x14ac:dyDescent="0.3">
      <c r="B28" s="330"/>
      <c r="C28" s="105" t="s">
        <v>83</v>
      </c>
      <c r="D28" s="106"/>
      <c r="E28" s="302"/>
      <c r="F28" s="111"/>
      <c r="G28" s="112"/>
      <c r="H28" s="143"/>
      <c r="I28" s="109"/>
      <c r="J28" s="110"/>
      <c r="K28" s="84"/>
      <c r="L28" s="330"/>
      <c r="M28" s="105" t="s">
        <v>83</v>
      </c>
      <c r="N28" s="106"/>
      <c r="O28" s="302"/>
      <c r="P28" s="111"/>
      <c r="Q28" s="112"/>
      <c r="R28" s="143"/>
      <c r="S28" s="109"/>
      <c r="T28" s="110"/>
      <c r="V28" s="338"/>
      <c r="W28" s="10"/>
      <c r="X28" s="27"/>
    </row>
    <row r="29" spans="2:24" x14ac:dyDescent="0.25">
      <c r="B29" s="330"/>
      <c r="C29" s="9" t="s">
        <v>53</v>
      </c>
      <c r="D29" s="116"/>
      <c r="E29" s="285">
        <f>IF(D29="",F29,D29)</f>
        <v>5.2</v>
      </c>
      <c r="F29" s="79">
        <v>5.2</v>
      </c>
      <c r="G29" s="90" t="s">
        <v>46</v>
      </c>
      <c r="H29" s="142"/>
      <c r="I29" s="89"/>
      <c r="J29" s="94"/>
      <c r="K29" s="84"/>
      <c r="L29" s="330"/>
      <c r="M29" s="9" t="s">
        <v>53</v>
      </c>
      <c r="N29" s="116"/>
      <c r="O29" s="285">
        <f>IF(N29="",P29,N29)</f>
        <v>5.2</v>
      </c>
      <c r="P29" s="79">
        <v>5.2</v>
      </c>
      <c r="Q29" s="90" t="s">
        <v>46</v>
      </c>
      <c r="R29" s="142"/>
      <c r="S29" s="89"/>
      <c r="T29" s="94"/>
      <c r="V29" s="338"/>
      <c r="W29" s="10"/>
      <c r="X29" s="27"/>
    </row>
    <row r="30" spans="2:24" ht="15.75" thickBot="1" x14ac:dyDescent="0.3">
      <c r="B30" s="330"/>
      <c r="C30" s="9" t="s">
        <v>64</v>
      </c>
      <c r="D30" s="197"/>
      <c r="E30" s="286">
        <f>IF(D30="",F30,D30)</f>
        <v>1.29</v>
      </c>
      <c r="F30" s="199">
        <v>1.29</v>
      </c>
      <c r="G30" s="91" t="s">
        <v>52</v>
      </c>
      <c r="H30" s="142"/>
      <c r="I30" s="89"/>
      <c r="J30" s="94"/>
      <c r="K30" s="84"/>
      <c r="L30" s="330"/>
      <c r="M30" s="9" t="s">
        <v>64</v>
      </c>
      <c r="N30" s="197"/>
      <c r="O30" s="286">
        <f>IF(N30="",P30,N30)</f>
        <v>1.29</v>
      </c>
      <c r="P30" s="199">
        <v>1.29</v>
      </c>
      <c r="Q30" s="91" t="s">
        <v>52</v>
      </c>
      <c r="R30" s="142"/>
      <c r="S30" s="89"/>
      <c r="T30" s="94"/>
      <c r="V30" s="338"/>
      <c r="W30" s="10"/>
      <c r="X30" s="27"/>
    </row>
    <row r="31" spans="2:24" ht="15.75" thickBot="1" x14ac:dyDescent="0.3">
      <c r="B31" s="330"/>
      <c r="C31" s="95" t="s">
        <v>74</v>
      </c>
      <c r="D31" s="187">
        <f>$E$30*$E$29/100</f>
        <v>6.7080000000000001E-2</v>
      </c>
      <c r="E31" s="287" t="str">
        <f>IF(VLOOKUP(G$13,Hypothèses!C12:C17,1,0)=Hypothèses!C13,D31*$G$12,"N/A")</f>
        <v>N/A</v>
      </c>
      <c r="F31" s="221"/>
      <c r="G31" s="97" t="s">
        <v>54</v>
      </c>
      <c r="H31" s="144" t="str">
        <f>IF(VLOOKUP(G$13,Hypothèses!C12:C17,1,0)=Hypothèses!C13,D31*$G$14,"N/A")</f>
        <v>N/A</v>
      </c>
      <c r="I31" s="98">
        <f>IF(H31="N/A", 0, H31/$G$14)</f>
        <v>0</v>
      </c>
      <c r="J31" s="99">
        <f>IF(H31="N/A",0,H31/$H$63)</f>
        <v>0</v>
      </c>
      <c r="K31" s="84"/>
      <c r="L31" s="330"/>
      <c r="M31" s="95" t="s">
        <v>74</v>
      </c>
      <c r="N31" s="187">
        <f>$O$30*$O$29/100</f>
        <v>6.7080000000000001E-2</v>
      </c>
      <c r="O31" s="287" t="str">
        <f>IF(VLOOKUP(Q$13,Hypothèses!$E$12:$E$17,1,0)=Hypothèses!M13,N31*$G$12,"N/A")</f>
        <v>N/A</v>
      </c>
      <c r="P31" s="221"/>
      <c r="Q31" s="97" t="s">
        <v>54</v>
      </c>
      <c r="R31" s="144">
        <f>IF(VLOOKUP(Q$13,Hypothèses!$E$12:$E$17,1,0)=Hypothèses!E13,N31*$Q$14,"N/A")</f>
        <v>13.416</v>
      </c>
      <c r="S31" s="98">
        <f>IF(R31="N/A", 0, R31/$G$14)</f>
        <v>6.7080000000000001E-2</v>
      </c>
      <c r="T31" s="99">
        <f>IF(R31="N/A",0,R31/$R$63)</f>
        <v>3.2063783411724216E-2</v>
      </c>
      <c r="V31" s="338"/>
      <c r="W31" s="10"/>
      <c r="X31" s="27"/>
    </row>
    <row r="32" spans="2:24" ht="15.75" thickBot="1" x14ac:dyDescent="0.3">
      <c r="B32" s="330"/>
      <c r="C32" s="10"/>
      <c r="D32" s="101"/>
      <c r="E32" s="283"/>
      <c r="F32" s="93"/>
      <c r="G32" s="102"/>
      <c r="H32" s="142"/>
      <c r="I32" s="103"/>
      <c r="J32" s="92"/>
      <c r="K32" s="84"/>
      <c r="L32" s="330"/>
      <c r="M32" s="10"/>
      <c r="N32" s="101"/>
      <c r="O32" s="283"/>
      <c r="P32" s="93"/>
      <c r="Q32" s="102"/>
      <c r="R32" s="142"/>
      <c r="S32" s="103"/>
      <c r="T32" s="92"/>
      <c r="V32" s="338"/>
      <c r="W32" s="10"/>
      <c r="X32" s="27"/>
    </row>
    <row r="33" spans="2:24" ht="15.75" thickBot="1" x14ac:dyDescent="0.3">
      <c r="B33" s="330"/>
      <c r="C33" s="105" t="s">
        <v>84</v>
      </c>
      <c r="D33" s="106"/>
      <c r="E33" s="302"/>
      <c r="F33" s="111"/>
      <c r="G33" s="112"/>
      <c r="H33" s="143"/>
      <c r="I33" s="109"/>
      <c r="J33" s="110"/>
      <c r="K33" s="133"/>
      <c r="L33" s="330"/>
      <c r="M33" s="105" t="s">
        <v>84</v>
      </c>
      <c r="N33" s="106"/>
      <c r="O33" s="302"/>
      <c r="P33" s="111"/>
      <c r="Q33" s="112"/>
      <c r="R33" s="143"/>
      <c r="S33" s="109"/>
      <c r="T33" s="110"/>
      <c r="V33" s="338"/>
      <c r="W33" s="10"/>
      <c r="X33" s="27"/>
    </row>
    <row r="34" spans="2:24" x14ac:dyDescent="0.25">
      <c r="B34" s="330"/>
      <c r="C34" s="9" t="s">
        <v>53</v>
      </c>
      <c r="D34" s="116"/>
      <c r="E34" s="285">
        <f>IF(D34="",F34,D34)</f>
        <v>5.2</v>
      </c>
      <c r="F34" s="79">
        <v>5.2</v>
      </c>
      <c r="G34" s="90" t="s">
        <v>46</v>
      </c>
      <c r="H34" s="142"/>
      <c r="I34" s="89"/>
      <c r="J34" s="94"/>
      <c r="K34" s="84"/>
      <c r="L34" s="330"/>
      <c r="M34" s="9" t="s">
        <v>53</v>
      </c>
      <c r="N34" s="116"/>
      <c r="O34" s="285">
        <f>IF(N34="",P34,N34)</f>
        <v>5.2</v>
      </c>
      <c r="P34" s="79">
        <v>5.2</v>
      </c>
      <c r="Q34" s="90" t="s">
        <v>46</v>
      </c>
      <c r="R34" s="142"/>
      <c r="S34" s="89"/>
      <c r="T34" s="94"/>
      <c r="V34" s="338"/>
      <c r="W34" s="10"/>
      <c r="X34" s="27"/>
    </row>
    <row r="35" spans="2:24" ht="15.75" thickBot="1" x14ac:dyDescent="0.3">
      <c r="B35" s="330"/>
      <c r="C35" s="9" t="s">
        <v>64</v>
      </c>
      <c r="D35" s="197"/>
      <c r="E35" s="286">
        <f>IF(D35="",F35,D35)</f>
        <v>1.35</v>
      </c>
      <c r="F35" s="199">
        <v>1.35</v>
      </c>
      <c r="G35" s="91" t="s">
        <v>52</v>
      </c>
      <c r="H35" s="142"/>
      <c r="I35" s="89"/>
      <c r="J35" s="94"/>
      <c r="K35" s="84"/>
      <c r="L35" s="330"/>
      <c r="M35" s="9" t="s">
        <v>64</v>
      </c>
      <c r="N35" s="197"/>
      <c r="O35" s="286">
        <f>IF(N35="",P35,N35)</f>
        <v>1.35</v>
      </c>
      <c r="P35" s="199">
        <v>1.35</v>
      </c>
      <c r="Q35" s="91" t="s">
        <v>52</v>
      </c>
      <c r="R35" s="142"/>
      <c r="S35" s="89"/>
      <c r="T35" s="94"/>
      <c r="V35" s="338"/>
      <c r="W35" s="10"/>
      <c r="X35" s="27"/>
    </row>
    <row r="36" spans="2:24" ht="15.75" thickBot="1" x14ac:dyDescent="0.3">
      <c r="B36" s="330"/>
      <c r="C36" s="95" t="s">
        <v>74</v>
      </c>
      <c r="D36" s="187">
        <f>$E$35*$E$34/100</f>
        <v>7.0199999999999999E-2</v>
      </c>
      <c r="E36" s="287" t="str">
        <f>IF(VLOOKUP(G$13,Hypothèses!C12:C17,1,0)=Hypothèses!C14,D36*$G$12,"N/A")</f>
        <v>N/A</v>
      </c>
      <c r="F36" s="221"/>
      <c r="G36" s="97" t="s">
        <v>54</v>
      </c>
      <c r="H36" s="144" t="str">
        <f>IF(VLOOKUP(G$13,Hypothèses!C12:C17,1,0)=Hypothèses!C14,D36*$G$14,"N/A")</f>
        <v>N/A</v>
      </c>
      <c r="I36" s="98">
        <f>IF(H36="N/A", 0, H36/$G$14)</f>
        <v>0</v>
      </c>
      <c r="J36" s="99">
        <f>IF(H36="N/A",0,H36/$H$63)</f>
        <v>0</v>
      </c>
      <c r="K36" s="84"/>
      <c r="L36" s="330"/>
      <c r="M36" s="95" t="s">
        <v>74</v>
      </c>
      <c r="N36" s="187">
        <f>$O$35*$O$34/100</f>
        <v>7.0199999999999999E-2</v>
      </c>
      <c r="O36" s="287" t="str">
        <f>IF(VLOOKUP(Q$13,Hypothèses!$E$12:$E$17,1,0)=Hypothèses!M14,N36*$G$12,"N/A")</f>
        <v>N/A</v>
      </c>
      <c r="P36" s="221"/>
      <c r="Q36" s="97" t="s">
        <v>54</v>
      </c>
      <c r="R36" s="144" t="str">
        <f>IF(VLOOKUP(Q$13,Hypothèses!$E$12:$E$17,1,0)=Hypothèses!E14,N36*$Q$14,"N/A")</f>
        <v>N/A</v>
      </c>
      <c r="S36" s="98">
        <f>IF(R36="N/A", 0, R36/$G$14)</f>
        <v>0</v>
      </c>
      <c r="T36" s="99">
        <f>IF(R36="N/A",0,R36/$R$63)</f>
        <v>0</v>
      </c>
      <c r="V36" s="338"/>
      <c r="W36" s="10"/>
      <c r="X36" s="27"/>
    </row>
    <row r="37" spans="2:24" ht="15.75" thickBot="1" x14ac:dyDescent="0.3">
      <c r="B37" s="330"/>
      <c r="C37" s="10"/>
      <c r="D37" s="101"/>
      <c r="E37" s="283"/>
      <c r="F37" s="93"/>
      <c r="G37" s="102"/>
      <c r="H37" s="142"/>
      <c r="I37" s="103"/>
      <c r="J37" s="92"/>
      <c r="K37" s="84"/>
      <c r="L37" s="330"/>
      <c r="M37" s="10"/>
      <c r="N37" s="101"/>
      <c r="O37" s="283"/>
      <c r="P37" s="93"/>
      <c r="Q37" s="102"/>
      <c r="R37" s="142"/>
      <c r="S37" s="103"/>
      <c r="T37" s="92"/>
      <c r="V37" s="338"/>
      <c r="W37" s="10"/>
      <c r="X37" s="27"/>
    </row>
    <row r="38" spans="2:24" ht="15.75" thickBot="1" x14ac:dyDescent="0.3">
      <c r="B38" s="330"/>
      <c r="C38" s="105" t="s">
        <v>78</v>
      </c>
      <c r="D38" s="106"/>
      <c r="E38" s="302"/>
      <c r="F38" s="107"/>
      <c r="G38" s="108"/>
      <c r="H38" s="143"/>
      <c r="I38" s="109"/>
      <c r="J38" s="110"/>
      <c r="K38" s="84"/>
      <c r="L38" s="330"/>
      <c r="M38" s="105" t="s">
        <v>78</v>
      </c>
      <c r="N38" s="106"/>
      <c r="O38" s="302"/>
      <c r="P38" s="107"/>
      <c r="Q38" s="108"/>
      <c r="R38" s="143"/>
      <c r="S38" s="109"/>
      <c r="T38" s="110"/>
      <c r="V38" s="338"/>
      <c r="W38" s="10"/>
      <c r="X38" s="27"/>
    </row>
    <row r="39" spans="2:24" x14ac:dyDescent="0.25">
      <c r="B39" s="330"/>
      <c r="C39" s="9" t="s">
        <v>79</v>
      </c>
      <c r="D39" s="182"/>
      <c r="E39" s="285">
        <f>IF(D39="",F39,D39)</f>
        <v>16</v>
      </c>
      <c r="F39" s="79">
        <v>16</v>
      </c>
      <c r="G39" s="90" t="s">
        <v>75</v>
      </c>
      <c r="H39" s="142"/>
      <c r="I39" s="89"/>
      <c r="J39" s="94"/>
      <c r="K39" s="84"/>
      <c r="L39" s="330"/>
      <c r="M39" s="9" t="s">
        <v>79</v>
      </c>
      <c r="N39" s="182"/>
      <c r="O39" s="285">
        <f>IF(N39="",P39,N39)</f>
        <v>16</v>
      </c>
      <c r="P39" s="79">
        <v>16</v>
      </c>
      <c r="Q39" s="90" t="s">
        <v>75</v>
      </c>
      <c r="R39" s="142"/>
      <c r="S39" s="89"/>
      <c r="T39" s="94"/>
      <c r="V39" s="338"/>
      <c r="W39" s="10"/>
      <c r="X39" s="27"/>
    </row>
    <row r="40" spans="2:24" x14ac:dyDescent="0.25">
      <c r="B40" s="330"/>
      <c r="C40" s="10" t="s">
        <v>96</v>
      </c>
      <c r="D40" s="197"/>
      <c r="E40" s="286">
        <f>IF(D40="",F40,D40)</f>
        <v>0.08</v>
      </c>
      <c r="F40" s="199">
        <v>0.08</v>
      </c>
      <c r="G40" s="80" t="s">
        <v>73</v>
      </c>
      <c r="H40" s="145"/>
      <c r="I40" s="27"/>
      <c r="J40" s="104"/>
      <c r="K40" s="113"/>
      <c r="L40" s="330"/>
      <c r="M40" s="10" t="s">
        <v>96</v>
      </c>
      <c r="N40" s="197"/>
      <c r="O40" s="286">
        <f>IF(N40="",P40,N40)</f>
        <v>0.08</v>
      </c>
      <c r="P40" s="199">
        <v>0.08</v>
      </c>
      <c r="Q40" s="80" t="s">
        <v>73</v>
      </c>
      <c r="R40" s="145"/>
      <c r="S40" s="27"/>
      <c r="T40" s="104"/>
      <c r="V40" s="338"/>
      <c r="W40" s="10"/>
      <c r="X40" s="27"/>
    </row>
    <row r="41" spans="2:24" ht="15.75" thickBot="1" x14ac:dyDescent="0.3">
      <c r="B41" s="330"/>
      <c r="C41" s="95" t="s">
        <v>89</v>
      </c>
      <c r="D41" s="198">
        <f>$E$40*E39/100</f>
        <v>1.2800000000000001E-2</v>
      </c>
      <c r="E41" s="287" t="str">
        <f>IF(VLOOKUP(G$13,Hypothèses!C12:C17,1,0)=Hypothèses!C16,D41*$G$12,"N/A")</f>
        <v>N/A</v>
      </c>
      <c r="F41" s="221"/>
      <c r="G41" s="97" t="s">
        <v>54</v>
      </c>
      <c r="H41" s="144" t="str">
        <f>IF(VLOOKUP(G$13,Hypothèses!C12:C17,1,0)=Hypothèses!C16,D41*$G$14,"N/A")</f>
        <v>N/A</v>
      </c>
      <c r="I41" s="98">
        <f>IF(H41="N/A", 0, H41/$G$14)</f>
        <v>0</v>
      </c>
      <c r="J41" s="99">
        <f>IF(H41="N/A",0,H41/$H$63)</f>
        <v>0</v>
      </c>
      <c r="K41" s="84"/>
      <c r="L41" s="330"/>
      <c r="M41" s="95" t="s">
        <v>89</v>
      </c>
      <c r="N41" s="198">
        <f>$O$40*$O$39/100</f>
        <v>1.2800000000000001E-2</v>
      </c>
      <c r="O41" s="287" t="str">
        <f>IF(VLOOKUP(Q$13,Hypothèses!$E$12:$E$17,1,0)=Hypothèses!M16,N41*$G$12,"N/A")</f>
        <v>N/A</v>
      </c>
      <c r="P41" s="221"/>
      <c r="Q41" s="97" t="s">
        <v>54</v>
      </c>
      <c r="R41" s="146" t="str">
        <f>IF(VLOOKUP(Q$13,Hypothèses!$E$12:$E$17,1,0)=Hypothèses!E16,N41*$Q$14,"N/A")</f>
        <v>N/A</v>
      </c>
      <c r="S41" s="98">
        <f>IF(R41="N/A", 0, R41/$G$14)</f>
        <v>0</v>
      </c>
      <c r="T41" s="99">
        <f>IF(R41="N/A",0,R41/$R$63)</f>
        <v>0</v>
      </c>
      <c r="V41" s="338"/>
      <c r="W41" s="10"/>
      <c r="X41" s="27"/>
    </row>
    <row r="42" spans="2:24" ht="15.75" thickBot="1" x14ac:dyDescent="0.3">
      <c r="B42" s="330"/>
      <c r="C42" s="10"/>
      <c r="D42" s="101"/>
      <c r="E42" s="283"/>
      <c r="F42" s="93"/>
      <c r="G42" s="102"/>
      <c r="H42" s="142"/>
      <c r="I42" s="103"/>
      <c r="J42" s="92"/>
      <c r="K42" s="84"/>
      <c r="L42" s="330"/>
      <c r="M42" s="10"/>
      <c r="N42" s="101"/>
      <c r="O42" s="283"/>
      <c r="P42" s="93"/>
      <c r="Q42" s="102"/>
      <c r="R42" s="142"/>
      <c r="S42" s="103"/>
      <c r="T42" s="92"/>
      <c r="V42" s="338"/>
      <c r="W42" s="10"/>
      <c r="X42" s="27"/>
    </row>
    <row r="43" spans="2:24" ht="15.75" thickBot="1" x14ac:dyDescent="0.3">
      <c r="B43" s="330"/>
      <c r="C43" s="105" t="s">
        <v>77</v>
      </c>
      <c r="D43" s="106"/>
      <c r="E43" s="302"/>
      <c r="F43" s="107"/>
      <c r="G43" s="108"/>
      <c r="H43" s="143"/>
      <c r="I43" s="109"/>
      <c r="J43" s="110"/>
      <c r="K43" s="84"/>
      <c r="L43" s="330"/>
      <c r="M43" s="105" t="s">
        <v>77</v>
      </c>
      <c r="N43" s="106"/>
      <c r="O43" s="302"/>
      <c r="P43" s="107"/>
      <c r="Q43" s="108"/>
      <c r="R43" s="143"/>
      <c r="S43" s="109"/>
      <c r="T43" s="110"/>
      <c r="V43" s="338"/>
      <c r="W43" s="10"/>
      <c r="X43" s="27"/>
    </row>
    <row r="44" spans="2:24" x14ac:dyDescent="0.25">
      <c r="B44" s="330"/>
      <c r="C44" s="9" t="s">
        <v>80</v>
      </c>
      <c r="D44" s="182"/>
      <c r="E44" s="285">
        <f>IF(D44="",F44,D44)</f>
        <v>4.7</v>
      </c>
      <c r="F44" s="79">
        <v>4.7</v>
      </c>
      <c r="G44" s="90" t="s">
        <v>46</v>
      </c>
      <c r="H44" s="142"/>
      <c r="I44" s="89"/>
      <c r="J44" s="94"/>
      <c r="K44" s="84"/>
      <c r="L44" s="330"/>
      <c r="M44" s="9" t="s">
        <v>80</v>
      </c>
      <c r="N44" s="182"/>
      <c r="O44" s="285">
        <f>IF(N44="",P44,N44)</f>
        <v>4.7</v>
      </c>
      <c r="P44" s="79">
        <v>4.7</v>
      </c>
      <c r="Q44" s="90" t="s">
        <v>46</v>
      </c>
      <c r="R44" s="142"/>
      <c r="S44" s="89"/>
      <c r="T44" s="94"/>
      <c r="V44" s="338"/>
      <c r="W44" s="10"/>
      <c r="X44" s="27"/>
    </row>
    <row r="45" spans="2:24" ht="15.75" thickBot="1" x14ac:dyDescent="0.3">
      <c r="B45" s="330"/>
      <c r="C45" s="9" t="s">
        <v>64</v>
      </c>
      <c r="D45" s="197"/>
      <c r="E45" s="286">
        <f>IF(D45="",F45,D45)</f>
        <v>1.35</v>
      </c>
      <c r="F45" s="199">
        <v>1.35</v>
      </c>
      <c r="G45" s="80" t="s">
        <v>85</v>
      </c>
      <c r="H45" s="145"/>
      <c r="I45" s="27"/>
      <c r="J45" s="104"/>
      <c r="K45" s="84"/>
      <c r="L45" s="330"/>
      <c r="M45" s="9" t="s">
        <v>64</v>
      </c>
      <c r="N45" s="197"/>
      <c r="O45" s="286">
        <f>IF(N45="",P45,N45)</f>
        <v>1.35</v>
      </c>
      <c r="P45" s="199">
        <v>1.35</v>
      </c>
      <c r="Q45" s="80" t="s">
        <v>85</v>
      </c>
      <c r="R45" s="145"/>
      <c r="S45" s="27"/>
      <c r="T45" s="104"/>
      <c r="V45" s="338"/>
      <c r="W45" s="10"/>
      <c r="X45" s="27"/>
    </row>
    <row r="46" spans="2:24" ht="15.75" thickBot="1" x14ac:dyDescent="0.3">
      <c r="B46" s="330"/>
      <c r="C46" s="95" t="s">
        <v>74</v>
      </c>
      <c r="D46" s="187">
        <f>$E$45*$E$44/100</f>
        <v>6.3450000000000006E-2</v>
      </c>
      <c r="E46" s="287">
        <f>IF(VLOOKUP(G$13,Hypothèses!C12:C27,1,0)=Hypothèses!C15,D46*$G$12,"N/A")</f>
        <v>0</v>
      </c>
      <c r="F46" s="221"/>
      <c r="G46" s="97" t="s">
        <v>54</v>
      </c>
      <c r="H46" s="144">
        <f>IF(VLOOKUP(G$13,Hypothèses!C12:C17,1,0)=Hypothèses!C15,D46*$G$14,"N/A")</f>
        <v>12.690000000000001</v>
      </c>
      <c r="I46" s="98">
        <f>IF(H46="N/A", 0, H46/$G$14)</f>
        <v>6.3450000000000006E-2</v>
      </c>
      <c r="J46" s="99">
        <f>IF(H46="N/A",0,H46/$H$63)</f>
        <v>3.0381383322559796E-2</v>
      </c>
      <c r="K46" s="84"/>
      <c r="L46" s="330"/>
      <c r="M46" s="95" t="s">
        <v>74</v>
      </c>
      <c r="N46" s="187">
        <f>$O$45*$O$44/100</f>
        <v>6.3450000000000006E-2</v>
      </c>
      <c r="O46" s="287" t="str">
        <f>IF(VLOOKUP(Q$13,Hypothèses!$E$12:$E$17,1,0)=Hypothèses!M15,N46*$G$12,"N/A")</f>
        <v>N/A</v>
      </c>
      <c r="P46" s="221"/>
      <c r="Q46" s="97" t="s">
        <v>54</v>
      </c>
      <c r="R46" s="144" t="str">
        <f>IF(VLOOKUP(Q$13,Hypothèses!$E$12:$E$17,1,0)=Hypothèses!E15,N46*$G$14,"N/A")</f>
        <v>N/A</v>
      </c>
      <c r="S46" s="98">
        <f>IF(R46="N/A", 0, R46/$G$14)</f>
        <v>0</v>
      </c>
      <c r="T46" s="99">
        <f>IF(R46="N/A",0,R46/$R$63)</f>
        <v>0</v>
      </c>
      <c r="V46" s="338"/>
      <c r="W46" s="10"/>
      <c r="X46" s="27"/>
    </row>
    <row r="47" spans="2:24" ht="15.75" thickBot="1" x14ac:dyDescent="0.3">
      <c r="B47" s="330"/>
      <c r="C47" s="10"/>
      <c r="D47" s="101"/>
      <c r="E47" s="283"/>
      <c r="F47" s="93"/>
      <c r="G47" s="102"/>
      <c r="H47" s="142"/>
      <c r="I47" s="103"/>
      <c r="J47" s="92"/>
      <c r="K47" s="84"/>
      <c r="L47" s="330"/>
      <c r="M47" s="10"/>
      <c r="N47" s="101"/>
      <c r="O47" s="283"/>
      <c r="P47" s="93"/>
      <c r="Q47" s="102"/>
      <c r="R47" s="142"/>
      <c r="S47" s="103"/>
      <c r="T47" s="92"/>
      <c r="V47" s="338"/>
      <c r="W47" s="10"/>
      <c r="X47" s="27"/>
    </row>
    <row r="48" spans="2:24" ht="15.75" thickBot="1" x14ac:dyDescent="0.3">
      <c r="B48" s="330"/>
      <c r="C48" s="105" t="s">
        <v>76</v>
      </c>
      <c r="D48" s="106"/>
      <c r="E48" s="302"/>
      <c r="F48" s="107"/>
      <c r="G48" s="108"/>
      <c r="H48" s="143"/>
      <c r="I48" s="109"/>
      <c r="J48" s="110"/>
      <c r="K48" s="84"/>
      <c r="L48" s="330"/>
      <c r="M48" s="105" t="s">
        <v>76</v>
      </c>
      <c r="N48" s="106"/>
      <c r="O48" s="302"/>
      <c r="P48" s="107"/>
      <c r="Q48" s="108"/>
      <c r="R48" s="143"/>
      <c r="S48" s="109"/>
      <c r="T48" s="110"/>
      <c r="V48" s="338"/>
      <c r="W48" s="10"/>
      <c r="X48" s="27"/>
    </row>
    <row r="49" spans="2:24" x14ac:dyDescent="0.25">
      <c r="B49" s="330"/>
      <c r="C49" s="9" t="s">
        <v>79</v>
      </c>
      <c r="D49" s="182"/>
      <c r="E49" s="285">
        <f>IF(D49="",F49,D49)</f>
        <v>20</v>
      </c>
      <c r="F49" s="79">
        <v>20</v>
      </c>
      <c r="G49" s="90" t="s">
        <v>75</v>
      </c>
      <c r="H49" s="142"/>
      <c r="I49" s="89"/>
      <c r="J49" s="94"/>
      <c r="K49" s="84"/>
      <c r="L49" s="330"/>
      <c r="M49" s="9" t="s">
        <v>79</v>
      </c>
      <c r="N49" s="182"/>
      <c r="O49" s="285">
        <f>IF(N49="",P49,N49)</f>
        <v>20</v>
      </c>
      <c r="P49" s="79">
        <v>20</v>
      </c>
      <c r="Q49" s="90" t="s">
        <v>75</v>
      </c>
      <c r="R49" s="142"/>
      <c r="S49" s="89"/>
      <c r="T49" s="94"/>
      <c r="V49" s="338"/>
      <c r="W49" s="10"/>
      <c r="X49" s="27"/>
    </row>
    <row r="50" spans="2:24" x14ac:dyDescent="0.25">
      <c r="B50" s="330"/>
      <c r="C50" s="10" t="s">
        <v>95</v>
      </c>
      <c r="D50" s="197"/>
      <c r="E50" s="286">
        <f>IF(D50="",F50,D50)</f>
        <v>0.08</v>
      </c>
      <c r="F50" s="199">
        <v>0.08</v>
      </c>
      <c r="G50" s="80" t="s">
        <v>73</v>
      </c>
      <c r="H50" s="142"/>
      <c r="I50" s="89"/>
      <c r="J50" s="94"/>
      <c r="K50" s="84"/>
      <c r="L50" s="330"/>
      <c r="M50" s="10" t="s">
        <v>95</v>
      </c>
      <c r="N50" s="197"/>
      <c r="O50" s="286">
        <f>IF(N50="",P50,N50)</f>
        <v>0.08</v>
      </c>
      <c r="P50" s="199">
        <v>0.08</v>
      </c>
      <c r="Q50" s="80" t="s">
        <v>73</v>
      </c>
      <c r="R50" s="142"/>
      <c r="S50" s="89"/>
      <c r="T50" s="94"/>
      <c r="V50" s="338"/>
      <c r="W50" s="10"/>
      <c r="X50" s="27"/>
    </row>
    <row r="51" spans="2:24" x14ac:dyDescent="0.25">
      <c r="B51" s="330"/>
      <c r="C51" s="10" t="s">
        <v>97</v>
      </c>
      <c r="D51" s="116"/>
      <c r="E51" s="288">
        <f>IF(D51="",F51,D51)</f>
        <v>60</v>
      </c>
      <c r="F51" s="79">
        <v>60</v>
      </c>
      <c r="G51" s="80" t="s">
        <v>98</v>
      </c>
      <c r="H51" s="142"/>
      <c r="I51" s="89"/>
      <c r="J51" s="94"/>
      <c r="K51" s="84"/>
      <c r="L51" s="330"/>
      <c r="M51" s="10" t="s">
        <v>97</v>
      </c>
      <c r="N51" s="116"/>
      <c r="O51" s="285">
        <f>IF(N51="",P51,N51)</f>
        <v>60</v>
      </c>
      <c r="P51" s="79">
        <v>60</v>
      </c>
      <c r="Q51" s="80" t="s">
        <v>98</v>
      </c>
      <c r="R51" s="142"/>
      <c r="S51" s="89"/>
      <c r="T51" s="94"/>
      <c r="V51" s="338"/>
      <c r="W51" s="10"/>
      <c r="X51" s="27"/>
    </row>
    <row r="52" spans="2:24" ht="15.75" thickBot="1" x14ac:dyDescent="0.3">
      <c r="B52" s="330"/>
      <c r="C52" s="10" t="s">
        <v>124</v>
      </c>
      <c r="D52" s="116"/>
      <c r="E52" s="288">
        <f>IF(D52="",F52,D52)</f>
        <v>75</v>
      </c>
      <c r="F52" s="79">
        <v>75</v>
      </c>
      <c r="G52" s="80" t="s">
        <v>126</v>
      </c>
      <c r="H52" s="142"/>
      <c r="I52" s="89"/>
      <c r="J52" s="94"/>
      <c r="K52" s="84"/>
      <c r="L52" s="330"/>
      <c r="M52" s="10" t="s">
        <v>124</v>
      </c>
      <c r="N52" s="116"/>
      <c r="O52" s="288">
        <f>IF(N52="",P52,N52)</f>
        <v>75</v>
      </c>
      <c r="P52" s="79">
        <v>75</v>
      </c>
      <c r="Q52" s="80" t="s">
        <v>126</v>
      </c>
      <c r="R52" s="142"/>
      <c r="S52" s="89"/>
      <c r="T52" s="94"/>
      <c r="V52" s="338"/>
      <c r="W52" s="10"/>
      <c r="X52" s="27"/>
    </row>
    <row r="53" spans="2:24" ht="15.75" thickBot="1" x14ac:dyDescent="0.3">
      <c r="B53" s="330"/>
      <c r="C53" s="10" t="s">
        <v>100</v>
      </c>
      <c r="D53" s="135">
        <f>E51/E52</f>
        <v>0.8</v>
      </c>
      <c r="E53" s="289"/>
      <c r="F53" s="134"/>
      <c r="G53" s="80" t="s">
        <v>101</v>
      </c>
      <c r="H53" s="142"/>
      <c r="I53" s="89"/>
      <c r="J53" s="94"/>
      <c r="K53" s="84"/>
      <c r="L53" s="330"/>
      <c r="M53" s="10" t="s">
        <v>100</v>
      </c>
      <c r="N53" s="135">
        <f>O51/O52</f>
        <v>0.8</v>
      </c>
      <c r="O53" s="289"/>
      <c r="P53" s="134"/>
      <c r="Q53" s="80" t="s">
        <v>101</v>
      </c>
      <c r="R53" s="142"/>
      <c r="S53" s="89"/>
      <c r="T53" s="94"/>
      <c r="V53" s="338"/>
      <c r="W53" s="10"/>
      <c r="X53" s="27"/>
    </row>
    <row r="54" spans="2:24" ht="15.75" thickBot="1" x14ac:dyDescent="0.3">
      <c r="B54" s="330"/>
      <c r="C54" s="136" t="s">
        <v>89</v>
      </c>
      <c r="D54" s="210">
        <f>$E$50*$E$49/100*D53</f>
        <v>1.2800000000000001E-2</v>
      </c>
      <c r="E54" s="287" t="str">
        <f>IF(VLOOKUP(G$13,Hypothèses!C12:C17,1,0)=Hypothèses!C17,D54*$G$12,"N/A")</f>
        <v>N/A</v>
      </c>
      <c r="F54" s="222"/>
      <c r="G54" s="137" t="s">
        <v>54</v>
      </c>
      <c r="H54" s="147" t="str">
        <f>IF(VLOOKUP(G$13,Hypothèses!C12:C17,1,0)=Hypothèses!C17,D54*$G$14,"N/A")</f>
        <v>N/A</v>
      </c>
      <c r="I54" s="138">
        <f>IF(H54="N/A", 0, H54/$G$14)</f>
        <v>0</v>
      </c>
      <c r="J54" s="139">
        <f>IF(H54="N/A",0,H54/$H$63)</f>
        <v>0</v>
      </c>
      <c r="K54" s="84"/>
      <c r="L54" s="330"/>
      <c r="M54" s="136" t="s">
        <v>89</v>
      </c>
      <c r="N54" s="210">
        <f>$O$50*$O$49/100*N53</f>
        <v>1.2800000000000001E-2</v>
      </c>
      <c r="O54" s="287" t="str">
        <f>IF(VLOOKUP(Q$13,Hypothèses!$E$12:$E$17,1,0)=Hypothèses!M17,N54*$G$12,"N/A")</f>
        <v>N/A</v>
      </c>
      <c r="P54" s="222"/>
      <c r="Q54" s="137" t="s">
        <v>54</v>
      </c>
      <c r="R54" s="147" t="str">
        <f>IF(VLOOKUP(Q$13,Hypothèses!$E$12:$E$17,1,0)=Hypothèses!E17,N54*$G$14,"N/A")</f>
        <v>N/A</v>
      </c>
      <c r="S54" s="138">
        <f>IF(R54="N/A", 0, R54/$G$14)</f>
        <v>0</v>
      </c>
      <c r="T54" s="139">
        <f>IF(R54="N/A",0,R54/$R$63)</f>
        <v>0</v>
      </c>
      <c r="V54" s="338"/>
      <c r="W54" s="10"/>
      <c r="X54" s="27"/>
    </row>
    <row r="55" spans="2:24" x14ac:dyDescent="0.25">
      <c r="B55" s="330"/>
      <c r="C55" s="9" t="s">
        <v>81</v>
      </c>
      <c r="D55" s="116"/>
      <c r="E55" s="285">
        <f>IF(D55="",F55,D55)</f>
        <v>6.4</v>
      </c>
      <c r="F55" s="79">
        <v>6.4</v>
      </c>
      <c r="G55" s="90" t="s">
        <v>46</v>
      </c>
      <c r="H55" s="142"/>
      <c r="I55" s="89"/>
      <c r="J55" s="94"/>
      <c r="K55" s="84"/>
      <c r="L55" s="330"/>
      <c r="M55" s="9" t="s">
        <v>81</v>
      </c>
      <c r="N55" s="116"/>
      <c r="O55" s="285">
        <f>IF(N55="",P55,N55)</f>
        <v>6.4</v>
      </c>
      <c r="P55" s="79">
        <v>6.4</v>
      </c>
      <c r="Q55" s="90" t="s">
        <v>46</v>
      </c>
      <c r="R55" s="142"/>
      <c r="S55" s="89"/>
      <c r="T55" s="94"/>
      <c r="V55" s="338"/>
      <c r="W55" s="10"/>
      <c r="X55" s="27"/>
    </row>
    <row r="56" spans="2:24" ht="15.75" thickBot="1" x14ac:dyDescent="0.3">
      <c r="B56" s="330"/>
      <c r="C56" s="9" t="s">
        <v>64</v>
      </c>
      <c r="D56" s="197"/>
      <c r="E56" s="286">
        <f>IF(D56="",F56,D56)</f>
        <v>1.35</v>
      </c>
      <c r="F56" s="199">
        <v>1.35</v>
      </c>
      <c r="G56" s="91" t="s">
        <v>52</v>
      </c>
      <c r="H56" s="142"/>
      <c r="I56" s="89"/>
      <c r="J56" s="94"/>
      <c r="K56" s="84"/>
      <c r="L56" s="330"/>
      <c r="M56" s="9" t="s">
        <v>64</v>
      </c>
      <c r="N56" s="197"/>
      <c r="O56" s="286">
        <f>IF(N56="",P56,N56)</f>
        <v>1.35</v>
      </c>
      <c r="P56" s="199">
        <v>1.35</v>
      </c>
      <c r="Q56" s="91" t="s">
        <v>52</v>
      </c>
      <c r="R56" s="142"/>
      <c r="S56" s="89"/>
      <c r="T56" s="94"/>
      <c r="V56" s="338"/>
      <c r="W56" s="10"/>
      <c r="X56" s="27"/>
    </row>
    <row r="57" spans="2:24" ht="15.75" thickBot="1" x14ac:dyDescent="0.3">
      <c r="B57" s="330"/>
      <c r="C57" s="10" t="s">
        <v>102</v>
      </c>
      <c r="D57" s="135">
        <f>(1-D53)</f>
        <v>0.19999999999999996</v>
      </c>
      <c r="E57" s="289"/>
      <c r="F57" s="134"/>
      <c r="G57" s="80" t="s">
        <v>101</v>
      </c>
      <c r="H57" s="142"/>
      <c r="I57" s="89"/>
      <c r="J57" s="94"/>
      <c r="K57" s="84"/>
      <c r="L57" s="330"/>
      <c r="M57" s="10" t="s">
        <v>102</v>
      </c>
      <c r="N57" s="135">
        <f>(1-N53)</f>
        <v>0.19999999999999996</v>
      </c>
      <c r="O57" s="289"/>
      <c r="P57" s="134"/>
      <c r="Q57" s="80" t="s">
        <v>101</v>
      </c>
      <c r="R57" s="142"/>
      <c r="S57" s="89"/>
      <c r="T57" s="94"/>
      <c r="V57" s="338"/>
      <c r="W57" s="10"/>
      <c r="X57" s="27"/>
    </row>
    <row r="58" spans="2:24" ht="15.75" thickBot="1" x14ac:dyDescent="0.3">
      <c r="B58" s="330"/>
      <c r="C58" s="95" t="s">
        <v>44</v>
      </c>
      <c r="D58" s="187">
        <f>E56*E55/100*D57</f>
        <v>1.7279999999999997E-2</v>
      </c>
      <c r="E58" s="287" t="str">
        <f>IF(VLOOKUP(G$13,Hypothèses!C12:C17,1,0)=Hypothèses!C17,D58*$G$12,"N/A")</f>
        <v>N/A</v>
      </c>
      <c r="F58" s="221"/>
      <c r="G58" s="97" t="s">
        <v>54</v>
      </c>
      <c r="H58" s="144" t="str">
        <f>IF(VLOOKUP(G$13,Hypothèses!C12:C17,1,0)=Hypothèses!C17,D58*$G$14,"N/A")</f>
        <v>N/A</v>
      </c>
      <c r="I58" s="98">
        <f>IF(H58="N/A", 0, H58/$G$14)</f>
        <v>0</v>
      </c>
      <c r="J58" s="99">
        <f>IF(H58="N/A",0,H58/$H$63)</f>
        <v>0</v>
      </c>
      <c r="K58" s="84"/>
      <c r="L58" s="330"/>
      <c r="M58" s="95" t="s">
        <v>44</v>
      </c>
      <c r="N58" s="187">
        <f>O56*O55/100*N57</f>
        <v>1.7279999999999997E-2</v>
      </c>
      <c r="O58" s="287" t="str">
        <f>IF(VLOOKUP(Q$13,Hypothèses!$E$12:$E$17,1,0)=Hypothèses!M17,N58*$G$12,"N/A")</f>
        <v>N/A</v>
      </c>
      <c r="P58" s="221"/>
      <c r="Q58" s="97" t="s">
        <v>54</v>
      </c>
      <c r="R58" s="144" t="str">
        <f>IF(VLOOKUP(Q$13,Hypothèses!$E$12:$E$17,1,0)=Hypothèses!E17,N58*$G$14,"N/A")</f>
        <v>N/A</v>
      </c>
      <c r="S58" s="98">
        <f>IF(R58="N/A", 0, R58/$G$14)</f>
        <v>0</v>
      </c>
      <c r="T58" s="99">
        <f>IF(R58="N/A",0,R58/$R$63)</f>
        <v>0</v>
      </c>
      <c r="V58" s="349">
        <f>SUM(H23:H58)-SUM(R23:R58)</f>
        <v>-0.72599999999999909</v>
      </c>
      <c r="W58" s="10" t="s">
        <v>153</v>
      </c>
      <c r="X58" s="27"/>
    </row>
    <row r="59" spans="2:24" ht="15.75" thickBot="1" x14ac:dyDescent="0.3">
      <c r="B59" s="330"/>
      <c r="C59" s="10"/>
      <c r="D59" s="101"/>
      <c r="E59" s="283"/>
      <c r="F59" s="93"/>
      <c r="G59" s="102"/>
      <c r="H59" s="142"/>
      <c r="I59" s="103"/>
      <c r="J59" s="92"/>
      <c r="K59" s="84"/>
      <c r="L59" s="330"/>
      <c r="M59" s="10"/>
      <c r="N59" s="101"/>
      <c r="O59" s="283"/>
      <c r="P59" s="93"/>
      <c r="Q59" s="102"/>
      <c r="R59" s="142"/>
      <c r="S59" s="103"/>
      <c r="T59" s="92"/>
      <c r="V59" s="338"/>
      <c r="W59" s="10"/>
      <c r="X59" s="27"/>
    </row>
    <row r="60" spans="2:24" ht="15.75" thickBot="1" x14ac:dyDescent="0.3">
      <c r="B60" s="331"/>
      <c r="C60" s="10" t="s">
        <v>137</v>
      </c>
      <c r="D60" s="215">
        <v>100</v>
      </c>
      <c r="E60" s="293"/>
      <c r="F60" s="216"/>
      <c r="G60" s="86"/>
      <c r="H60" s="152">
        <f>D60</f>
        <v>100</v>
      </c>
      <c r="I60" s="47">
        <f>D60/$G$14</f>
        <v>0.5</v>
      </c>
      <c r="J60" s="115">
        <f>H60/$H$63</f>
        <v>0.23941200411788646</v>
      </c>
      <c r="K60" s="84"/>
      <c r="L60" s="331"/>
      <c r="M60" s="10" t="s">
        <v>137</v>
      </c>
      <c r="N60" s="41">
        <v>100</v>
      </c>
      <c r="O60" s="304"/>
      <c r="P60" s="75"/>
      <c r="Q60" s="86"/>
      <c r="R60" s="152">
        <f>N60</f>
        <v>100</v>
      </c>
      <c r="S60" s="47">
        <f>R60/$Q$14</f>
        <v>0.5</v>
      </c>
      <c r="T60" s="115">
        <f>R60/$R$63</f>
        <v>0.23899659668846315</v>
      </c>
      <c r="V60" s="349">
        <f t="shared" ref="V60:V61" si="2">H60-R60</f>
        <v>0</v>
      </c>
      <c r="W60" s="10" t="s">
        <v>137</v>
      </c>
      <c r="X60" s="27"/>
    </row>
    <row r="61" spans="2:24" s="269" customFormat="1" ht="15.75" thickBot="1" x14ac:dyDescent="0.3">
      <c r="B61" s="259" t="s">
        <v>11</v>
      </c>
      <c r="C61" s="260" t="s">
        <v>142</v>
      </c>
      <c r="D61" s="261">
        <v>20</v>
      </c>
      <c r="E61" s="310"/>
      <c r="F61" s="262"/>
      <c r="G61" s="263"/>
      <c r="H61" s="264">
        <f>D61</f>
        <v>20</v>
      </c>
      <c r="I61" s="265">
        <f>D61/$G$14</f>
        <v>0.1</v>
      </c>
      <c r="J61" s="266">
        <f>H61/$H$63</f>
        <v>4.7882400823577295E-2</v>
      </c>
      <c r="K61" s="267"/>
      <c r="L61" s="259" t="s">
        <v>11</v>
      </c>
      <c r="M61" s="260" t="s">
        <v>142</v>
      </c>
      <c r="N61" s="261">
        <v>20</v>
      </c>
      <c r="O61" s="308"/>
      <c r="P61" s="262"/>
      <c r="Q61" s="263"/>
      <c r="R61" s="264">
        <f>N61</f>
        <v>20</v>
      </c>
      <c r="S61" s="265">
        <f>N61/$Q$14</f>
        <v>0.1</v>
      </c>
      <c r="T61" s="266">
        <f>R61/$R$63</f>
        <v>4.7799319337692631E-2</v>
      </c>
      <c r="V61" s="349">
        <f t="shared" si="2"/>
        <v>0</v>
      </c>
      <c r="W61" s="252" t="s">
        <v>142</v>
      </c>
      <c r="X61" s="268"/>
    </row>
    <row r="62" spans="2:24" ht="15.75" thickBot="1" x14ac:dyDescent="0.3">
      <c r="C62" s="33" t="s">
        <v>0</v>
      </c>
      <c r="D62" s="34"/>
      <c r="E62" s="306"/>
      <c r="F62" s="34"/>
      <c r="G62" s="34"/>
      <c r="H62" s="39"/>
      <c r="I62" s="39"/>
      <c r="J62" s="40"/>
      <c r="M62" s="33" t="s">
        <v>0</v>
      </c>
      <c r="N62" s="34"/>
      <c r="O62" s="306"/>
      <c r="P62" s="34"/>
      <c r="Q62" s="34"/>
      <c r="R62" s="39"/>
      <c r="S62" s="39"/>
      <c r="T62" s="40"/>
      <c r="V62" s="338"/>
      <c r="W62" s="10"/>
    </row>
    <row r="63" spans="2:24" ht="15.75" thickBot="1" x14ac:dyDescent="0.3">
      <c r="C63" s="19"/>
      <c r="D63" s="28"/>
      <c r="E63" s="307"/>
      <c r="F63" s="28"/>
      <c r="G63" s="29" t="s">
        <v>49</v>
      </c>
      <c r="H63" s="5">
        <f>SUM(H17:H61)</f>
        <v>417.69</v>
      </c>
      <c r="I63" s="5">
        <f>SUM(I17:I61)</f>
        <v>2.2134500000000004</v>
      </c>
      <c r="J63" s="274">
        <f>SUM(J17:J61)</f>
        <v>1</v>
      </c>
      <c r="K63" s="19"/>
      <c r="M63" s="19"/>
      <c r="N63" s="28"/>
      <c r="O63" s="307"/>
      <c r="P63" s="28"/>
      <c r="Q63" s="29" t="s">
        <v>49</v>
      </c>
      <c r="R63" s="5">
        <f>SUM(R17:R61)</f>
        <v>418.416</v>
      </c>
      <c r="S63" s="5">
        <f>SUM(S17:S61)</f>
        <v>2.2170800000000002</v>
      </c>
      <c r="T63" s="274">
        <f>SUM(T17:T61)</f>
        <v>1</v>
      </c>
      <c r="V63" s="351">
        <f t="shared" ref="V63" si="3">H63-R63</f>
        <v>-0.72599999999999909</v>
      </c>
      <c r="W63" s="354" t="s">
        <v>14</v>
      </c>
    </row>
    <row r="64" spans="2:24" ht="30" x14ac:dyDescent="0.25">
      <c r="H64" s="82" t="str">
        <f>"pour "&amp;D7&amp;" "&amp;F7</f>
        <v>pour 200 km estimé d'utilisation</v>
      </c>
      <c r="I64" s="83" t="s">
        <v>58</v>
      </c>
      <c r="N64" s="12"/>
      <c r="P64" s="12"/>
      <c r="Q64" s="12"/>
      <c r="R64" s="82" t="str">
        <f>"pour "&amp;D7&amp;" "&amp;F7</f>
        <v>pour 200 km estimé d'utilisation</v>
      </c>
      <c r="S64" s="83" t="s">
        <v>58</v>
      </c>
    </row>
    <row r="65" spans="1:7" x14ac:dyDescent="0.25">
      <c r="A65" s="31"/>
    </row>
    <row r="66" spans="1:7" x14ac:dyDescent="0.25">
      <c r="A66" s="32"/>
    </row>
    <row r="77" spans="1:7" ht="15.75" customHeight="1" x14ac:dyDescent="0.25">
      <c r="D77" s="11"/>
      <c r="F77" s="11"/>
      <c r="G77" s="11"/>
    </row>
    <row r="78" spans="1:7" ht="15.75" customHeight="1" x14ac:dyDescent="0.25">
      <c r="D78" s="11"/>
      <c r="F78" s="11"/>
      <c r="G78" s="11"/>
    </row>
    <row r="79" spans="1:7" ht="15.75" customHeight="1" x14ac:dyDescent="0.25">
      <c r="D79" s="11"/>
      <c r="F79" s="11"/>
      <c r="G79" s="11"/>
    </row>
    <row r="80" spans="1:7" ht="15.75" customHeight="1" x14ac:dyDescent="0.25">
      <c r="D80" s="11"/>
      <c r="F80" s="11"/>
      <c r="G80" s="11"/>
    </row>
    <row r="81" spans="3:7" ht="15.75" customHeight="1" x14ac:dyDescent="0.25">
      <c r="D81" s="11"/>
      <c r="F81" s="11"/>
      <c r="G81" s="11"/>
    </row>
    <row r="82" spans="3:7" ht="15.75" customHeight="1" x14ac:dyDescent="0.25">
      <c r="D82" s="11"/>
      <c r="F82" s="11"/>
      <c r="G82" s="11"/>
    </row>
    <row r="83" spans="3:7" ht="15.75" customHeight="1" x14ac:dyDescent="0.25">
      <c r="D83" s="11"/>
      <c r="F83" s="11"/>
      <c r="G83" s="11"/>
    </row>
    <row r="84" spans="3:7" ht="15.75" customHeight="1" x14ac:dyDescent="0.25"/>
    <row r="85" spans="3:7" ht="15.75" customHeight="1" x14ac:dyDescent="0.25"/>
    <row r="86" spans="3:7" ht="15.75" customHeight="1" x14ac:dyDescent="0.25"/>
    <row r="87" spans="3:7" ht="15.75" customHeight="1" thickBot="1" x14ac:dyDescent="0.3"/>
    <row r="88" spans="3:7" ht="17.25" customHeight="1" x14ac:dyDescent="0.25">
      <c r="C88" s="8"/>
      <c r="D88" s="55" t="s">
        <v>16</v>
      </c>
      <c r="E88" s="296"/>
      <c r="F88" s="55"/>
      <c r="G88" s="26" t="s">
        <v>17</v>
      </c>
    </row>
    <row r="89" spans="3:7" x14ac:dyDescent="0.25">
      <c r="C89" s="9" t="s">
        <v>105</v>
      </c>
      <c r="D89" s="49">
        <f>H17</f>
        <v>180</v>
      </c>
      <c r="E89" s="311"/>
      <c r="F89" s="49"/>
      <c r="G89" s="50">
        <f>R17</f>
        <v>180</v>
      </c>
    </row>
    <row r="90" spans="3:7" x14ac:dyDescent="0.25">
      <c r="C90" s="9" t="s">
        <v>99</v>
      </c>
      <c r="D90" s="49">
        <f>H18</f>
        <v>30</v>
      </c>
      <c r="E90" s="311"/>
      <c r="F90" s="49"/>
      <c r="G90" s="50">
        <f>R18</f>
        <v>30</v>
      </c>
    </row>
    <row r="91" spans="3:7" x14ac:dyDescent="0.25">
      <c r="C91" s="9" t="s">
        <v>106</v>
      </c>
      <c r="D91" s="49">
        <f>H20</f>
        <v>25</v>
      </c>
      <c r="E91" s="311"/>
      <c r="F91" s="49"/>
      <c r="G91" s="50">
        <f>R20</f>
        <v>25</v>
      </c>
    </row>
    <row r="92" spans="3:7" x14ac:dyDescent="0.25">
      <c r="C92" s="9" t="s">
        <v>42</v>
      </c>
      <c r="D92" s="49">
        <f>H21</f>
        <v>50</v>
      </c>
      <c r="E92" s="311"/>
      <c r="F92" s="49"/>
      <c r="G92" s="50">
        <f>R21</f>
        <v>50</v>
      </c>
    </row>
    <row r="93" spans="3:7" x14ac:dyDescent="0.25">
      <c r="C93" s="9" t="s">
        <v>9</v>
      </c>
      <c r="D93" s="49">
        <f>SUM(H26:H58)</f>
        <v>12.690000000000001</v>
      </c>
      <c r="E93" s="311"/>
      <c r="F93" s="49"/>
      <c r="G93" s="50">
        <f>SUM(R26:R58)</f>
        <v>13.416</v>
      </c>
    </row>
    <row r="94" spans="3:7" ht="15.75" thickBot="1" x14ac:dyDescent="0.3">
      <c r="C94" s="10" t="s">
        <v>108</v>
      </c>
      <c r="D94" s="49">
        <f>H60</f>
        <v>100</v>
      </c>
      <c r="E94" s="311"/>
      <c r="F94" s="49"/>
      <c r="G94" s="50">
        <f>R60</f>
        <v>100</v>
      </c>
    </row>
    <row r="95" spans="3:7" ht="15.75" thickBot="1" x14ac:dyDescent="0.3">
      <c r="C95" s="260" t="s">
        <v>142</v>
      </c>
      <c r="D95" s="223">
        <f>H61</f>
        <v>20</v>
      </c>
      <c r="E95" s="312"/>
      <c r="F95" s="140"/>
      <c r="G95" s="224">
        <f>R61</f>
        <v>20</v>
      </c>
    </row>
  </sheetData>
  <sheetProtection selectLockedCells="1"/>
  <dataConsolidate/>
  <mergeCells count="7">
    <mergeCell ref="V15:W15"/>
    <mergeCell ref="C15:G15"/>
    <mergeCell ref="M15:Q15"/>
    <mergeCell ref="B17:B18"/>
    <mergeCell ref="L17:L18"/>
    <mergeCell ref="B19:B60"/>
    <mergeCell ref="L19:L60"/>
  </mergeCells>
  <pageMargins left="0.7" right="0.7" top="0.75" bottom="0.75" header="0.3" footer="0.3"/>
  <pageSetup orientation="portrait" verticalDpi="1200"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Hypothèses!$E$12:$E$17</xm:f>
          </x14:formula1>
          <xm:sqref>Q13</xm:sqref>
        </x14:dataValidation>
        <x14:dataValidation type="list" allowBlank="1" showInputMessage="1" showErrorMessage="1">
          <x14:formula1>
            <xm:f>Hypothèses!$C$12:$C$17</xm:f>
          </x14:formula1>
          <xm:sqref>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H19"/>
  <sheetViews>
    <sheetView workbookViewId="0">
      <selection activeCell="B2" sqref="B2"/>
    </sheetView>
  </sheetViews>
  <sheetFormatPr defaultColWidth="11.42578125" defaultRowHeight="15" x14ac:dyDescent="0.25"/>
  <cols>
    <col min="1" max="1" width="11.42578125" customWidth="1"/>
    <col min="2" max="2" width="38.7109375" customWidth="1"/>
    <col min="3" max="3" width="26.42578125" customWidth="1"/>
    <col min="4" max="6" width="11.42578125" customWidth="1"/>
    <col min="7" max="7" width="19.5703125" customWidth="1"/>
  </cols>
  <sheetData>
    <row r="1" spans="2:5" x14ac:dyDescent="0.25">
      <c r="B1" s="64" t="s">
        <v>48</v>
      </c>
    </row>
    <row r="2" spans="2:5" ht="28.5" customHeight="1" x14ac:dyDescent="0.25">
      <c r="B2" s="129" t="s">
        <v>90</v>
      </c>
      <c r="C2" s="130" t="s">
        <v>47</v>
      </c>
    </row>
    <row r="3" spans="2:5" ht="30" x14ac:dyDescent="0.25">
      <c r="B3" s="66" t="s">
        <v>91</v>
      </c>
      <c r="C3" s="130" t="s">
        <v>63</v>
      </c>
    </row>
    <row r="6" spans="2:5" x14ac:dyDescent="0.25">
      <c r="B6" s="64" t="s">
        <v>92</v>
      </c>
    </row>
    <row r="7" spans="2:5" ht="18.75" customHeight="1" x14ac:dyDescent="0.25">
      <c r="B7" s="131" t="s">
        <v>94</v>
      </c>
    </row>
    <row r="8" spans="2:5" x14ac:dyDescent="0.25">
      <c r="B8" s="131" t="s">
        <v>93</v>
      </c>
    </row>
    <row r="11" spans="2:5" x14ac:dyDescent="0.25">
      <c r="B11" s="64" t="s">
        <v>66</v>
      </c>
    </row>
    <row r="12" spans="2:5" x14ac:dyDescent="0.25">
      <c r="B12" t="s">
        <v>65</v>
      </c>
      <c r="C12" t="s">
        <v>67</v>
      </c>
      <c r="E12" t="s">
        <v>67</v>
      </c>
    </row>
    <row r="13" spans="2:5" x14ac:dyDescent="0.25">
      <c r="C13" t="s">
        <v>118</v>
      </c>
      <c r="E13" t="s">
        <v>118</v>
      </c>
    </row>
    <row r="14" spans="2:5" x14ac:dyDescent="0.25">
      <c r="C14" t="s">
        <v>68</v>
      </c>
      <c r="E14" t="s">
        <v>68</v>
      </c>
    </row>
    <row r="15" spans="2:5" x14ac:dyDescent="0.25">
      <c r="C15" t="s">
        <v>69</v>
      </c>
      <c r="E15" t="s">
        <v>69</v>
      </c>
    </row>
    <row r="16" spans="2:5" x14ac:dyDescent="0.25">
      <c r="C16" t="s">
        <v>70</v>
      </c>
      <c r="E16" t="s">
        <v>70</v>
      </c>
    </row>
    <row r="17" spans="3:8" x14ac:dyDescent="0.25">
      <c r="C17" t="s">
        <v>71</v>
      </c>
      <c r="E17" t="s">
        <v>71</v>
      </c>
    </row>
    <row r="19" spans="3:8" x14ac:dyDescent="0.25">
      <c r="H19" s="69"/>
    </row>
  </sheetData>
  <hyperlinks>
    <hyperlink ref="C2" r:id="rId1"/>
    <hyperlink ref="C3"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Instructions</vt:lpstr>
      <vt:lpstr>Calculateur_Achat</vt:lpstr>
      <vt:lpstr>Calculateur_LocationLong terme</vt:lpstr>
      <vt:lpstr>Calculateur_LocationCourt-terme</vt:lpstr>
      <vt:lpstr>Hypothèses</vt:lpstr>
      <vt:lpstr>choix</vt:lpstr>
      <vt:lpstr>Imprimante_Laser</vt:lpstr>
    </vt:vector>
  </TitlesOfParts>
  <Company>Ecole Polytechnique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GChimique</dc:creator>
  <cp:lastModifiedBy>Rosie</cp:lastModifiedBy>
  <cp:lastPrinted>2009-08-26T00:28:53Z</cp:lastPrinted>
  <dcterms:created xsi:type="dcterms:W3CDTF">2009-06-10T18:22:44Z</dcterms:created>
  <dcterms:modified xsi:type="dcterms:W3CDTF">2013-11-27T15:59:26Z</dcterms:modified>
</cp:coreProperties>
</file>